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-15" windowWidth="17415" windowHeight="11595" tabRatio="696" firstSheet="6" activeTab="6"/>
  </bookViews>
  <sheets>
    <sheet name="Cuadro de Costos" sheetId="10" state="hidden" r:id="rId1"/>
    <sheet name="3. PEP" sheetId="23" state="hidden" r:id="rId2"/>
    <sheet name="4. CC D" sheetId="25" state="hidden" r:id="rId3"/>
    <sheet name="6. PF M BID" sheetId="26" state="hidden" r:id="rId4"/>
    <sheet name="7. PF A BID" sheetId="32" state="hidden" r:id="rId5"/>
    <sheet name="12. POA año 1" sheetId="34" state="hidden" r:id="rId6"/>
    <sheet name="Plan de Adquisiciones" sheetId="33" r:id="rId7"/>
    <sheet name="Ñumi SJN" sheetId="27" state="hidden" r:id="rId8"/>
    <sheet name="ER6-frt-ECE" sheetId="28" state="hidden" r:id="rId9"/>
    <sheet name="Fisc ñumi SJN" sheetId="29" state="hidden" r:id="rId10"/>
    <sheet name="Fisc ER6-ECE" sheetId="30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1" localSheetId="4" hidden="1">#REF!</definedName>
    <definedName name="_1" localSheetId="8" hidden="1">#REF!</definedName>
    <definedName name="_1" localSheetId="10" hidden="1">#REF!</definedName>
    <definedName name="_1" hidden="1">#REF!</definedName>
    <definedName name="_2" localSheetId="4">#REF!</definedName>
    <definedName name="_2" localSheetId="8">#REF!</definedName>
    <definedName name="_2" localSheetId="10">#REF!</definedName>
    <definedName name="_2">#REF!</definedName>
    <definedName name="_3" localSheetId="4">#REF!</definedName>
    <definedName name="_3" localSheetId="8">#REF!</definedName>
    <definedName name="_3" localSheetId="10">#REF!</definedName>
    <definedName name="_3">#REF!</definedName>
    <definedName name="_6" localSheetId="4">#REF!</definedName>
    <definedName name="_6" localSheetId="8">#REF!</definedName>
    <definedName name="_6" localSheetId="10">#REF!</definedName>
    <definedName name="_6">#REF!</definedName>
    <definedName name="_8" localSheetId="4">#REF!</definedName>
    <definedName name="_8" localSheetId="8">#REF!</definedName>
    <definedName name="_8" localSheetId="10">#REF!</definedName>
    <definedName name="_8">#REF!</definedName>
    <definedName name="_f" localSheetId="4">#REF!</definedName>
    <definedName name="_f" localSheetId="8">#REF!</definedName>
    <definedName name="_f" localSheetId="10">#REF!</definedName>
    <definedName name="_f">#REF!</definedName>
    <definedName name="_Fill" localSheetId="4" hidden="1">#REF!</definedName>
    <definedName name="_Fill" localSheetId="8" hidden="1">#REF!</definedName>
    <definedName name="_Fill" localSheetId="10" hidden="1">#REF!</definedName>
    <definedName name="_Fill" hidden="1">#REF!</definedName>
    <definedName name="_xlnm._FilterDatabase" localSheetId="2" hidden="1">'4. CC D'!$A$7:$I$25</definedName>
    <definedName name="aaa" localSheetId="5">#REF!</definedName>
    <definedName name="aaa" localSheetId="3">#REF!</definedName>
    <definedName name="aaa" localSheetId="4">#REF!</definedName>
    <definedName name="aaa" localSheetId="8">#REF!</definedName>
    <definedName name="aaa" localSheetId="10">#REF!</definedName>
    <definedName name="aaa" localSheetId="9">#REF!</definedName>
    <definedName name="aaa" localSheetId="7">#REF!</definedName>
    <definedName name="aaa">#REF!</definedName>
    <definedName name="Component1">[1]RRF!$C$8</definedName>
    <definedName name="Component11">[1]RRF!$C$44</definedName>
    <definedName name="Component2">[1]RRF!$C$12</definedName>
    <definedName name="Component3">[1]RRF!$C$19</definedName>
    <definedName name="Component4">[1]RRF!$C$26</definedName>
    <definedName name="Component7">[1]RRF!$C$31</definedName>
    <definedName name="Component8">[1]RRF!$C$35</definedName>
    <definedName name="Component9">[1]RRF!$C$40</definedName>
    <definedName name="d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 localSheetId="8">#REF!</definedName>
    <definedName name="DDD" localSheetId="10">#REF!</definedName>
    <definedName name="DDD" localSheetId="9">#REF!</definedName>
    <definedName name="DDD" localSheetId="7">#REF!</definedName>
    <definedName name="DDD">#REF!</definedName>
    <definedName name="e" localSheetId="4">#REF!</definedName>
    <definedName name="e" localSheetId="8">#REF!</definedName>
    <definedName name="e" localSheetId="10">#REF!</definedName>
    <definedName name="e">#REF!</definedName>
    <definedName name="ffff" localSheetId="4">#REF!</definedName>
    <definedName name="ffff" localSheetId="8">#REF!</definedName>
    <definedName name="ffff" localSheetId="10">#REF!</definedName>
    <definedName name="ffff">#REF!</definedName>
    <definedName name="GRAFI" localSheetId="4">#REF!</definedName>
    <definedName name="GRAFI" localSheetId="8">#REF!</definedName>
    <definedName name="GRAFI" localSheetId="10">#REF!</definedName>
    <definedName name="GRAFI">#REF!</definedName>
    <definedName name="GRAFICO" localSheetId="4">#REF!</definedName>
    <definedName name="GRAFICO" localSheetId="8">#REF!</definedName>
    <definedName name="GRAFICO" localSheetId="10">#REF!</definedName>
    <definedName name="GRAFICO">#REF!</definedName>
    <definedName name="Level1">[1]MER!$J$15</definedName>
    <definedName name="Level11">[1]MER!$J$25</definedName>
    <definedName name="Level2">[1]MER!$J$16</definedName>
    <definedName name="Level3">[1]MER!$J$17</definedName>
    <definedName name="Level4">[1]MER!$J$18</definedName>
    <definedName name="Level7">[1]MER!$J$21</definedName>
    <definedName name="Level8">[1]MER!$J$22</definedName>
    <definedName name="Level9">[1]MER!$J$23</definedName>
    <definedName name="Np">#REF!</definedName>
    <definedName name="Nuevo" localSheetId="10">#REF!</definedName>
    <definedName name="Nuevo">#REF!</definedName>
    <definedName name="Pres" localSheetId="3">#REF!</definedName>
    <definedName name="Pres" localSheetId="4">#REF!</definedName>
    <definedName name="Pres" localSheetId="8">#REF!</definedName>
    <definedName name="Pres" localSheetId="10">#REF!</definedName>
    <definedName name="Pres" localSheetId="9">#REF!</definedName>
    <definedName name="Pres" localSheetId="7">#REF!</definedName>
    <definedName name="Pres">#REF!</definedName>
    <definedName name="_xlnm.Print_Area" localSheetId="2">'4. CC D'!$A$1:$J$9</definedName>
    <definedName name="_xlnm.Print_Area" localSheetId="3">'6. PF M BID'!$A$1:$BK$28</definedName>
    <definedName name="_xlnm.Print_Area" localSheetId="8">'ER6-frt-ECE'!$A$1:$J$47</definedName>
    <definedName name="_xlnm.Print_Area" localSheetId="7">'Ñumi SJN'!$A$1:$J$47</definedName>
    <definedName name="Print_Area_MI" localSheetId="3">#REF!</definedName>
    <definedName name="Print_Area_MI" localSheetId="4">#REF!</definedName>
    <definedName name="Print_Area_MI" localSheetId="8">#REF!</definedName>
    <definedName name="Print_Area_MI" localSheetId="10">#REF!</definedName>
    <definedName name="Print_Area_MI" localSheetId="9">#REF!</definedName>
    <definedName name="Print_Area_MI" localSheetId="7">#REF!</definedName>
    <definedName name="Print_Area_MI">#REF!</definedName>
    <definedName name="_xlnm.Print_Titles" localSheetId="5">'12. POA año 1'!$A:$B,'12. POA año 1'!#REF!</definedName>
    <definedName name="_xlnm.Print_Titles" localSheetId="1">'3. PEP'!$1:$8</definedName>
    <definedName name="_xlnm.Print_Titles" localSheetId="2">'4. CC D'!$7:$8</definedName>
    <definedName name="_xlnm.Print_Titles" localSheetId="3">'6. PF M BID'!$A:$C,'6. PF M BID'!$1:$11</definedName>
    <definedName name="_xlnm.Print_Titles" localSheetId="4">'7. PF A BID'!$1:$8</definedName>
    <definedName name="Resumen" localSheetId="5">#REF!</definedName>
    <definedName name="Resumen" localSheetId="3">#REF!</definedName>
    <definedName name="Resumen" localSheetId="4">#REF!</definedName>
    <definedName name="Resumen" localSheetId="8">#REF!</definedName>
    <definedName name="Resumen" localSheetId="10">#REF!</definedName>
    <definedName name="Resumen" localSheetId="9">#REF!</definedName>
    <definedName name="Resumen" localSheetId="7">#REF!</definedName>
    <definedName name="Resumen">#REF!</definedName>
    <definedName name="Risk1">[1]RRF!$E$8</definedName>
    <definedName name="Risk11">[1]RRF!$E$44</definedName>
    <definedName name="Risk2">[1]RRF!$E$12</definedName>
    <definedName name="Risk3">[1]RRF!$E$19</definedName>
    <definedName name="Risk4">[1]RRF!$E$26</definedName>
    <definedName name="Risk7">[1]RRF!$E$31</definedName>
    <definedName name="Risk8">[1]RRF!$E$35</definedName>
    <definedName name="Risk9">[1]RRF!$E$40</definedName>
    <definedName name="s">#REF!</definedName>
    <definedName name="SFGH" localSheetId="1">#REF!</definedName>
    <definedName name="SFGH" localSheetId="2">#REF!</definedName>
    <definedName name="SFGH" localSheetId="4">#REF!</definedName>
    <definedName name="SFGH" localSheetId="8">#REF!</definedName>
    <definedName name="SFGH" localSheetId="10">#REF!</definedName>
    <definedName name="SFGH">#REF!</definedName>
    <definedName name="si">#REF!</definedName>
    <definedName name="Typeofrisk1">[1]RRF!$D$8</definedName>
    <definedName name="Typeofrisk11">[1]RRF!$D$44</definedName>
    <definedName name="Typeofrisk2">[1]RRF!$D$12</definedName>
    <definedName name="Typeofrisk3">[1]RRF!$D$19</definedName>
    <definedName name="Typeofrisk4">[1]RRF!$D$26</definedName>
    <definedName name="Typeofrisk7">[1]RRF!$D$31</definedName>
    <definedName name="Typeofrisk8">[1]RRF!$D$35</definedName>
    <definedName name="Typeofrisk9">[1]RRF!$D$40</definedName>
    <definedName name="Value1">[1]MER!$I$15</definedName>
    <definedName name="Value11">[1]MER!$I$25</definedName>
    <definedName name="Value2">[1]MER!$I$16</definedName>
    <definedName name="Value3">[1]MER!$I$17</definedName>
    <definedName name="Value4">[1]MER!$I$18</definedName>
    <definedName name="Value7">[1]MER!$I$21</definedName>
    <definedName name="Value8">[1]MER!$I$22</definedName>
    <definedName name="Value9">[1]MER!$I$23</definedName>
  </definedNames>
  <calcPr calcId="145621"/>
</workbook>
</file>

<file path=xl/calcChain.xml><?xml version="1.0" encoding="utf-8"?>
<calcChain xmlns="http://schemas.openxmlformats.org/spreadsheetml/2006/main">
  <c r="E23" i="32" l="1"/>
  <c r="F23" i="32"/>
  <c r="G23" i="32"/>
  <c r="H23" i="32"/>
  <c r="I23" i="32"/>
  <c r="J23" i="32"/>
  <c r="D23" i="32"/>
  <c r="C23" i="32"/>
  <c r="E26" i="26"/>
  <c r="F26" i="26"/>
  <c r="G26" i="26"/>
  <c r="H26" i="26"/>
  <c r="I26" i="26"/>
  <c r="J26" i="26"/>
  <c r="K26" i="26"/>
  <c r="L26" i="26"/>
  <c r="M26" i="26"/>
  <c r="N26" i="26"/>
  <c r="O26" i="26"/>
  <c r="P26" i="26"/>
  <c r="Q26" i="26"/>
  <c r="R26" i="26"/>
  <c r="S26" i="26"/>
  <c r="T26" i="26"/>
  <c r="U26" i="26"/>
  <c r="V26" i="26"/>
  <c r="W26" i="26"/>
  <c r="X26" i="26"/>
  <c r="Y26" i="26"/>
  <c r="Z26" i="26"/>
  <c r="AA26" i="26"/>
  <c r="AB26" i="26"/>
  <c r="AC26" i="26"/>
  <c r="AD26" i="26"/>
  <c r="AE26" i="26"/>
  <c r="AF26" i="26"/>
  <c r="AG26" i="26"/>
  <c r="AH26" i="26"/>
  <c r="AI26" i="26"/>
  <c r="AJ26" i="26"/>
  <c r="AK26" i="26"/>
  <c r="AL26" i="26"/>
  <c r="AM26" i="26"/>
  <c r="AN26" i="26"/>
  <c r="AO26" i="26"/>
  <c r="AP26" i="26"/>
  <c r="AQ26" i="26"/>
  <c r="AR26" i="26"/>
  <c r="AS26" i="26"/>
  <c r="AT26" i="26"/>
  <c r="AU26" i="26"/>
  <c r="AV26" i="26"/>
  <c r="AW26" i="26"/>
  <c r="AX26" i="26"/>
  <c r="AY26" i="26"/>
  <c r="AZ26" i="26"/>
  <c r="BA26" i="26"/>
  <c r="BB26" i="26"/>
  <c r="BC26" i="26"/>
  <c r="BD26" i="26"/>
  <c r="BE26" i="26"/>
  <c r="BF26" i="26"/>
  <c r="BG26" i="26"/>
  <c r="BH26" i="26"/>
  <c r="BI26" i="26"/>
  <c r="BJ26" i="26"/>
  <c r="BK26" i="26"/>
  <c r="BL26" i="26"/>
  <c r="BM26" i="26"/>
  <c r="BN26" i="26"/>
  <c r="BO26" i="26"/>
  <c r="BP26" i="26"/>
  <c r="BQ26" i="26"/>
  <c r="BR26" i="26"/>
  <c r="BS26" i="26"/>
  <c r="BT26" i="26"/>
  <c r="BU26" i="26"/>
  <c r="BV26" i="26"/>
  <c r="BW26" i="26"/>
  <c r="BX26" i="26"/>
  <c r="BY26" i="26"/>
  <c r="BZ26" i="26"/>
  <c r="CA26" i="26"/>
  <c r="CB26" i="26"/>
  <c r="CC26" i="26"/>
  <c r="CD26" i="26"/>
  <c r="CE26" i="26"/>
  <c r="CF26" i="26"/>
  <c r="CG26" i="26"/>
  <c r="CH26" i="26"/>
  <c r="CI26" i="26"/>
  <c r="CJ26" i="26"/>
  <c r="D26" i="26"/>
  <c r="C26" i="26"/>
  <c r="C37" i="33"/>
  <c r="D37" i="33"/>
  <c r="E37" i="33"/>
  <c r="G37" i="33"/>
  <c r="L37" i="33"/>
  <c r="M37" i="33"/>
  <c r="B15" i="25" l="1"/>
  <c r="A4" i="34" l="1"/>
  <c r="E30" i="34"/>
  <c r="D30" i="34"/>
  <c r="H30" i="34" s="1"/>
  <c r="C30" i="34"/>
  <c r="G30" i="34" s="1"/>
  <c r="E29" i="34"/>
  <c r="D29" i="34"/>
  <c r="H29" i="34" s="1"/>
  <c r="C29" i="34"/>
  <c r="G29" i="34" s="1"/>
  <c r="E28" i="34"/>
  <c r="E27" i="34"/>
  <c r="D27" i="34"/>
  <c r="H27" i="34" s="1"/>
  <c r="C27" i="34"/>
  <c r="G27" i="34" s="1"/>
  <c r="E26" i="34"/>
  <c r="D26" i="34"/>
  <c r="H26" i="34" s="1"/>
  <c r="C26" i="34"/>
  <c r="G26" i="34" s="1"/>
  <c r="E25" i="34"/>
  <c r="D25" i="34"/>
  <c r="H25" i="34" s="1"/>
  <c r="C25" i="34"/>
  <c r="G25" i="34" s="1"/>
  <c r="E24" i="34"/>
  <c r="D24" i="34"/>
  <c r="H24" i="34" s="1"/>
  <c r="C24" i="34"/>
  <c r="G24" i="34" s="1"/>
  <c r="E23" i="34"/>
  <c r="E18" i="34"/>
  <c r="D18" i="34"/>
  <c r="H18" i="34" s="1"/>
  <c r="C18" i="34"/>
  <c r="G18" i="34" s="1"/>
  <c r="E17" i="34"/>
  <c r="D17" i="34"/>
  <c r="H17" i="34" s="1"/>
  <c r="C17" i="34"/>
  <c r="G17" i="34" s="1"/>
  <c r="E16" i="34"/>
  <c r="E15" i="34"/>
  <c r="D15" i="34"/>
  <c r="H15" i="34" s="1"/>
  <c r="C15" i="34"/>
  <c r="G15" i="34" s="1"/>
  <c r="E14" i="34"/>
  <c r="D14" i="34"/>
  <c r="H14" i="34" s="1"/>
  <c r="C14" i="34"/>
  <c r="G14" i="34" s="1"/>
  <c r="E13" i="34"/>
  <c r="D13" i="34"/>
  <c r="H13" i="34" s="1"/>
  <c r="C13" i="34"/>
  <c r="G13" i="34" s="1"/>
  <c r="E12" i="34"/>
  <c r="D12" i="34"/>
  <c r="H12" i="34" s="1"/>
  <c r="C12" i="34"/>
  <c r="G12" i="34" s="1"/>
  <c r="E11" i="34"/>
  <c r="E10" i="34"/>
  <c r="J12" i="32" l="1"/>
  <c r="J13" i="32"/>
  <c r="J14" i="32"/>
  <c r="I13" i="32"/>
  <c r="H13" i="32"/>
  <c r="J11" i="32"/>
  <c r="I11" i="32"/>
  <c r="H11" i="32"/>
  <c r="G13" i="32"/>
  <c r="F12" i="32"/>
  <c r="F14" i="32"/>
  <c r="E12" i="32"/>
  <c r="E14" i="32"/>
  <c r="D12" i="32"/>
  <c r="K13" i="34" s="1"/>
  <c r="D14" i="32"/>
  <c r="K15" i="34" s="1"/>
  <c r="G11" i="32"/>
  <c r="J13" i="26"/>
  <c r="K13" i="26"/>
  <c r="L13" i="26"/>
  <c r="M13" i="26"/>
  <c r="N13" i="26"/>
  <c r="I13" i="26"/>
  <c r="G52" i="33" l="1"/>
  <c r="C52" i="33"/>
  <c r="L39" i="33" l="1"/>
  <c r="M39" i="33"/>
  <c r="M38" i="33"/>
  <c r="L38" i="33"/>
  <c r="M36" i="33"/>
  <c r="L36" i="33"/>
  <c r="M34" i="33"/>
  <c r="L34" i="33"/>
  <c r="M33" i="33"/>
  <c r="L33" i="33"/>
  <c r="M32" i="33"/>
  <c r="L32" i="33"/>
  <c r="G69" i="33" l="1"/>
  <c r="D27" i="32"/>
  <c r="K28" i="34" s="1"/>
  <c r="J27" i="32"/>
  <c r="D28" i="32"/>
  <c r="K29" i="34" s="1"/>
  <c r="I28" i="32"/>
  <c r="J28" i="32"/>
  <c r="D29" i="32"/>
  <c r="K30" i="34" s="1"/>
  <c r="J29" i="32"/>
  <c r="J26" i="32" s="1"/>
  <c r="D26" i="32" l="1"/>
  <c r="K27" i="34" s="1"/>
  <c r="E29" i="26"/>
  <c r="F29" i="26"/>
  <c r="G29" i="26"/>
  <c r="H29" i="26"/>
  <c r="I29" i="26"/>
  <c r="J29" i="26"/>
  <c r="K29" i="26"/>
  <c r="L29" i="26"/>
  <c r="M29" i="26"/>
  <c r="N29" i="26"/>
  <c r="O29" i="26"/>
  <c r="BQ29" i="26"/>
  <c r="BR29" i="26"/>
  <c r="BS29" i="26"/>
  <c r="BT29" i="26"/>
  <c r="BU29" i="26"/>
  <c r="BV29" i="26"/>
  <c r="BW29" i="26"/>
  <c r="BX29" i="26"/>
  <c r="BY29" i="26"/>
  <c r="BZ29" i="26"/>
  <c r="CA29" i="26"/>
  <c r="CB29" i="26"/>
  <c r="CC29" i="26"/>
  <c r="CD29" i="26"/>
  <c r="CE29" i="26"/>
  <c r="CF29" i="26"/>
  <c r="CG29" i="26"/>
  <c r="CH29" i="26"/>
  <c r="CI29" i="26"/>
  <c r="D29" i="26"/>
  <c r="B31" i="26"/>
  <c r="B32" i="26"/>
  <c r="A31" i="26"/>
  <c r="A32" i="26"/>
  <c r="A30" i="26"/>
  <c r="B30" i="26"/>
  <c r="B29" i="26"/>
  <c r="A29" i="26"/>
  <c r="C11" i="10"/>
  <c r="C10" i="10"/>
  <c r="C13" i="10"/>
  <c r="E13" i="26"/>
  <c r="F13" i="26"/>
  <c r="G13" i="26"/>
  <c r="H13" i="26"/>
  <c r="BM13" i="26"/>
  <c r="BV13" i="26"/>
  <c r="BW13" i="26"/>
  <c r="BX13" i="26"/>
  <c r="BY13" i="26"/>
  <c r="BZ13" i="26"/>
  <c r="CA13" i="26"/>
  <c r="CB13" i="26"/>
  <c r="CC13" i="26"/>
  <c r="CD13" i="26"/>
  <c r="CE13" i="26"/>
  <c r="CF13" i="26"/>
  <c r="CG13" i="26"/>
  <c r="CH13" i="26"/>
  <c r="CI13" i="26"/>
  <c r="D13" i="26"/>
  <c r="A26" i="32" l="1"/>
  <c r="A27" i="34"/>
  <c r="B27" i="32"/>
  <c r="B28" i="34"/>
  <c r="A29" i="32"/>
  <c r="A30" i="34"/>
  <c r="B29" i="32"/>
  <c r="B30" i="34"/>
  <c r="B26" i="32"/>
  <c r="B27" i="34"/>
  <c r="A27" i="32"/>
  <c r="A28" i="34"/>
  <c r="A28" i="32"/>
  <c r="A29" i="34"/>
  <c r="B28" i="32"/>
  <c r="B29" i="34"/>
  <c r="G39" i="33"/>
  <c r="G38" i="33"/>
  <c r="E39" i="33"/>
  <c r="E38" i="33"/>
  <c r="D39" i="33"/>
  <c r="D38" i="33"/>
  <c r="C39" i="33"/>
  <c r="C38" i="33"/>
  <c r="G36" i="33"/>
  <c r="E36" i="33"/>
  <c r="D36" i="33"/>
  <c r="C36" i="33"/>
  <c r="G32" i="33"/>
  <c r="G33" i="33"/>
  <c r="G34" i="33"/>
  <c r="G35" i="33"/>
  <c r="C35" i="33"/>
  <c r="C14" i="33"/>
  <c r="J14" i="33"/>
  <c r="C13" i="33"/>
  <c r="B12" i="33"/>
  <c r="H27" i="23"/>
  <c r="B4" i="33"/>
  <c r="G53" i="33"/>
  <c r="G47" i="33"/>
  <c r="G67" i="33" s="1"/>
  <c r="H27" i="33"/>
  <c r="G65" i="33" s="1"/>
  <c r="H21" i="33"/>
  <c r="G64" i="33" s="1"/>
  <c r="J13" i="33"/>
  <c r="J12" i="33"/>
  <c r="C45" i="23"/>
  <c r="C44" i="23"/>
  <c r="G45" i="23"/>
  <c r="G46" i="23"/>
  <c r="G44" i="23"/>
  <c r="B44" i="23"/>
  <c r="B45" i="23"/>
  <c r="B46" i="23"/>
  <c r="A45" i="23"/>
  <c r="A46" i="23"/>
  <c r="A44" i="23"/>
  <c r="I26" i="25"/>
  <c r="C18" i="10" s="1"/>
  <c r="B28" i="23"/>
  <c r="B29" i="23"/>
  <c r="C40" i="10"/>
  <c r="C28" i="10"/>
  <c r="C31" i="10"/>
  <c r="C35" i="10"/>
  <c r="D43" i="10"/>
  <c r="C32" i="10"/>
  <c r="C29" i="10"/>
  <c r="C9" i="10"/>
  <c r="C29" i="32" l="1"/>
  <c r="C32" i="26"/>
  <c r="P32" i="26" s="1"/>
  <c r="Q32" i="26" s="1"/>
  <c r="R32" i="26" s="1"/>
  <c r="S32" i="26" s="1"/>
  <c r="T32" i="26" s="1"/>
  <c r="U32" i="26" s="1"/>
  <c r="V32" i="26" s="1"/>
  <c r="W32" i="26" s="1"/>
  <c r="X32" i="26" s="1"/>
  <c r="Y32" i="26" s="1"/>
  <c r="Z32" i="26" s="1"/>
  <c r="AA32" i="26" s="1"/>
  <c r="AB32" i="26" s="1"/>
  <c r="AC32" i="26" s="1"/>
  <c r="AD32" i="26" s="1"/>
  <c r="AE32" i="26" s="1"/>
  <c r="AF32" i="26" s="1"/>
  <c r="AG32" i="26" s="1"/>
  <c r="AH32" i="26" s="1"/>
  <c r="AI32" i="26" s="1"/>
  <c r="AJ32" i="26" s="1"/>
  <c r="AK32" i="26" s="1"/>
  <c r="AL32" i="26" s="1"/>
  <c r="AM32" i="26" s="1"/>
  <c r="AN32" i="26" s="1"/>
  <c r="C27" i="32"/>
  <c r="C30" i="26"/>
  <c r="C31" i="26"/>
  <c r="P31" i="26" s="1"/>
  <c r="C28" i="32"/>
  <c r="G40" i="33"/>
  <c r="G66" i="33" s="1"/>
  <c r="G59" i="33"/>
  <c r="C43" i="10"/>
  <c r="D28" i="10" s="1"/>
  <c r="C29" i="26" l="1"/>
  <c r="S30" i="26"/>
  <c r="T30" i="26" s="1"/>
  <c r="E29" i="32"/>
  <c r="Q31" i="26"/>
  <c r="P29" i="26"/>
  <c r="C26" i="32"/>
  <c r="AO32" i="26"/>
  <c r="AP32" i="26" s="1"/>
  <c r="AQ32" i="26" s="1"/>
  <c r="AR32" i="26" s="1"/>
  <c r="AS32" i="26" s="1"/>
  <c r="AT32" i="26" s="1"/>
  <c r="AU32" i="26" s="1"/>
  <c r="AV32" i="26" s="1"/>
  <c r="AW32" i="26" s="1"/>
  <c r="AX32" i="26" s="1"/>
  <c r="AY32" i="26" s="1"/>
  <c r="AZ32" i="26" s="1"/>
  <c r="U30" i="26"/>
  <c r="F29" i="32"/>
  <c r="D40" i="10"/>
  <c r="Q29" i="26" l="1"/>
  <c r="R31" i="26"/>
  <c r="V30" i="26"/>
  <c r="BA32" i="26"/>
  <c r="G29" i="32"/>
  <c r="S31" i="26" l="1"/>
  <c r="R29" i="26"/>
  <c r="BB32" i="26"/>
  <c r="BC32" i="26" s="1"/>
  <c r="BD32" i="26" s="1"/>
  <c r="BE32" i="26" s="1"/>
  <c r="BF32" i="26" s="1"/>
  <c r="BG32" i="26" s="1"/>
  <c r="BH32" i="26" s="1"/>
  <c r="BI32" i="26" s="1"/>
  <c r="BJ32" i="26" s="1"/>
  <c r="BK32" i="26" s="1"/>
  <c r="I29" i="32" s="1"/>
  <c r="W30" i="26"/>
  <c r="S29" i="26" l="1"/>
  <c r="T31" i="26"/>
  <c r="X30" i="26"/>
  <c r="H29" i="32"/>
  <c r="CJ32" i="26"/>
  <c r="D16" i="32"/>
  <c r="K17" i="34" s="1"/>
  <c r="E16" i="32"/>
  <c r="F16" i="32"/>
  <c r="D17" i="32"/>
  <c r="K18" i="34" s="1"/>
  <c r="D18" i="32"/>
  <c r="K19" i="34" s="1"/>
  <c r="E18" i="32"/>
  <c r="F18" i="32"/>
  <c r="D19" i="32"/>
  <c r="K20" i="34" s="1"/>
  <c r="D24" i="32"/>
  <c r="K26" i="34" s="1"/>
  <c r="D25" i="32"/>
  <c r="E25" i="32"/>
  <c r="F25" i="32"/>
  <c r="H25" i="32"/>
  <c r="I25" i="32"/>
  <c r="T29" i="26" l="1"/>
  <c r="U31" i="26"/>
  <c r="Y30" i="26"/>
  <c r="J10" i="32"/>
  <c r="D15" i="32"/>
  <c r="K16" i="34" s="1"/>
  <c r="K25" i="34" l="1"/>
  <c r="K24" i="34"/>
  <c r="V31" i="26"/>
  <c r="U29" i="26"/>
  <c r="Z30" i="26"/>
  <c r="A4" i="26"/>
  <c r="A4" i="32" s="1"/>
  <c r="F18" i="26"/>
  <c r="G18" i="26"/>
  <c r="H18" i="26"/>
  <c r="I18" i="26"/>
  <c r="J18" i="26"/>
  <c r="K18" i="26"/>
  <c r="L18" i="26"/>
  <c r="M18" i="26"/>
  <c r="N18" i="26"/>
  <c r="O18" i="26"/>
  <c r="Q18" i="26"/>
  <c r="R18" i="26"/>
  <c r="T18" i="26"/>
  <c r="U18" i="26"/>
  <c r="W18" i="26"/>
  <c r="X18" i="26"/>
  <c r="Z18" i="26"/>
  <c r="AA18" i="26"/>
  <c r="AC18" i="26"/>
  <c r="AD18" i="26"/>
  <c r="AF18" i="26"/>
  <c r="AG18" i="26"/>
  <c r="AI18" i="26"/>
  <c r="AJ18" i="26"/>
  <c r="AL18" i="26"/>
  <c r="AM18" i="26"/>
  <c r="AO18" i="26"/>
  <c r="AP18" i="26"/>
  <c r="AR18" i="26"/>
  <c r="AS18" i="26"/>
  <c r="AU18" i="26"/>
  <c r="AV18" i="26"/>
  <c r="AX18" i="26"/>
  <c r="AY18" i="26"/>
  <c r="BA18" i="26"/>
  <c r="BB18" i="26"/>
  <c r="BD18" i="26"/>
  <c r="BE18" i="26"/>
  <c r="BG18" i="26"/>
  <c r="BH18" i="26"/>
  <c r="BJ18" i="26"/>
  <c r="BK18" i="26"/>
  <c r="BM18" i="26"/>
  <c r="BN18" i="26"/>
  <c r="BP18" i="26"/>
  <c r="BQ18" i="26"/>
  <c r="BS18" i="26"/>
  <c r="BT18" i="26"/>
  <c r="BV18" i="26"/>
  <c r="BW18" i="26"/>
  <c r="BY18" i="26"/>
  <c r="BZ18" i="26"/>
  <c r="CB18" i="26"/>
  <c r="CC18" i="26"/>
  <c r="CE18" i="26"/>
  <c r="CF18" i="26"/>
  <c r="CH18" i="26"/>
  <c r="V29" i="26" l="1"/>
  <c r="W31" i="26"/>
  <c r="AA30" i="26"/>
  <c r="B43" i="30"/>
  <c r="B43" i="29"/>
  <c r="AA54" i="30"/>
  <c r="A43" i="30"/>
  <c r="C19" i="30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B18" i="30"/>
  <c r="J17" i="30"/>
  <c r="D17" i="30"/>
  <c r="D13" i="30"/>
  <c r="I17" i="30" s="1"/>
  <c r="C11" i="30"/>
  <c r="C8" i="30"/>
  <c r="I7" i="30"/>
  <c r="A5" i="30"/>
  <c r="B18" i="29"/>
  <c r="AA54" i="29"/>
  <c r="A43" i="29"/>
  <c r="C19" i="29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J17" i="29"/>
  <c r="D17" i="29"/>
  <c r="D13" i="29"/>
  <c r="I17" i="29" s="1"/>
  <c r="C11" i="29"/>
  <c r="C8" i="29"/>
  <c r="I7" i="29"/>
  <c r="A5" i="29"/>
  <c r="BN15" i="26"/>
  <c r="BN13" i="26" s="1"/>
  <c r="BO15" i="26"/>
  <c r="BO13" i="26" s="1"/>
  <c r="BP15" i="26"/>
  <c r="BP13" i="26" s="1"/>
  <c r="BQ15" i="26"/>
  <c r="BQ13" i="26" s="1"/>
  <c r="BR15" i="26"/>
  <c r="BR13" i="26" s="1"/>
  <c r="BS15" i="26"/>
  <c r="BS13" i="26" s="1"/>
  <c r="BT15" i="26"/>
  <c r="BT13" i="26" s="1"/>
  <c r="BU15" i="26"/>
  <c r="BU13" i="26" s="1"/>
  <c r="U50" i="28"/>
  <c r="B43" i="28"/>
  <c r="A43" i="28"/>
  <c r="A5" i="28" s="1"/>
  <c r="C19" i="28"/>
  <c r="C20" i="28" s="1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B18" i="28"/>
  <c r="J17" i="28"/>
  <c r="D17" i="28"/>
  <c r="D13" i="28"/>
  <c r="I17" i="28" s="1"/>
  <c r="C11" i="28"/>
  <c r="C8" i="28"/>
  <c r="I7" i="28"/>
  <c r="X31" i="26" l="1"/>
  <c r="W29" i="26"/>
  <c r="AB30" i="26"/>
  <c r="E27" i="32"/>
  <c r="W50" i="28"/>
  <c r="X50" i="28" s="1"/>
  <c r="V50" i="28"/>
  <c r="A43" i="27"/>
  <c r="A5" i="27" s="1"/>
  <c r="U50" i="27"/>
  <c r="B43" i="27"/>
  <c r="C19" i="27"/>
  <c r="C20" i="27" s="1"/>
  <c r="C21" i="27" s="1"/>
  <c r="B18" i="27"/>
  <c r="J17" i="27"/>
  <c r="D17" i="27"/>
  <c r="D13" i="27"/>
  <c r="I17" i="27" s="1"/>
  <c r="C11" i="27"/>
  <c r="C8" i="27"/>
  <c r="I7" i="27"/>
  <c r="BL25" i="26"/>
  <c r="BO25" i="26" s="1"/>
  <c r="BM25" i="26"/>
  <c r="BM24" i="26" s="1"/>
  <c r="G12" i="26"/>
  <c r="I12" i="26"/>
  <c r="K12" i="26"/>
  <c r="BQ12" i="26"/>
  <c r="BW12" i="26"/>
  <c r="CC12" i="26"/>
  <c r="F12" i="26"/>
  <c r="H12" i="26"/>
  <c r="L12" i="26"/>
  <c r="BP12" i="26"/>
  <c r="BS12" i="26"/>
  <c r="BT12" i="26"/>
  <c r="BV12" i="26"/>
  <c r="BY12" i="26"/>
  <c r="BZ12" i="26"/>
  <c r="CB12" i="26"/>
  <c r="CE12" i="26"/>
  <c r="CF12" i="26"/>
  <c r="CH12" i="26"/>
  <c r="E18" i="26"/>
  <c r="E12" i="26" s="1"/>
  <c r="D18" i="26"/>
  <c r="BP25" i="26" l="1"/>
  <c r="BS25" i="26" s="1"/>
  <c r="Y31" i="26"/>
  <c r="X29" i="26"/>
  <c r="AC30" i="26"/>
  <c r="V50" i="27"/>
  <c r="C22" i="27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Y50" i="28"/>
  <c r="BS24" i="26"/>
  <c r="BV25" i="26"/>
  <c r="BO24" i="26"/>
  <c r="BR25" i="26"/>
  <c r="BP24" i="26"/>
  <c r="BL24" i="26"/>
  <c r="BL23" i="26" s="1"/>
  <c r="D12" i="26"/>
  <c r="A18" i="26"/>
  <c r="A15" i="26"/>
  <c r="B15" i="26"/>
  <c r="A16" i="26"/>
  <c r="B16" i="26"/>
  <c r="A17" i="26"/>
  <c r="B17" i="26"/>
  <c r="B14" i="26"/>
  <c r="A14" i="26"/>
  <c r="A13" i="26"/>
  <c r="A12" i="26"/>
  <c r="A11" i="26"/>
  <c r="B11" i="26"/>
  <c r="B9" i="34" s="1"/>
  <c r="BJ24" i="26"/>
  <c r="BI24" i="26"/>
  <c r="BG24" i="26"/>
  <c r="BF24" i="26"/>
  <c r="BF23" i="26" s="1"/>
  <c r="BD24" i="26"/>
  <c r="BC24" i="26"/>
  <c r="BA24" i="26"/>
  <c r="AZ24" i="26"/>
  <c r="AZ23" i="26" s="1"/>
  <c r="AX24" i="26"/>
  <c r="AX23" i="26" s="1"/>
  <c r="AW24" i="26"/>
  <c r="AW23" i="26" s="1"/>
  <c r="AU24" i="26"/>
  <c r="AT24" i="26"/>
  <c r="AT23" i="26" s="1"/>
  <c r="AR24" i="26"/>
  <c r="AQ24" i="26"/>
  <c r="AO24" i="26"/>
  <c r="AN24" i="26"/>
  <c r="AN23" i="26" s="1"/>
  <c r="AL24" i="26"/>
  <c r="AL23" i="26" s="1"/>
  <c r="AK24" i="26"/>
  <c r="AK23" i="26" s="1"/>
  <c r="AI24" i="26"/>
  <c r="AH24" i="26"/>
  <c r="AH23" i="26" s="1"/>
  <c r="AF24" i="26"/>
  <c r="AE24" i="26"/>
  <c r="AC24" i="26"/>
  <c r="AB24" i="26"/>
  <c r="AB23" i="26" s="1"/>
  <c r="Z24" i="26"/>
  <c r="Z23" i="26" s="1"/>
  <c r="Y24" i="26"/>
  <c r="Y23" i="26" s="1"/>
  <c r="W24" i="26"/>
  <c r="W23" i="26" s="1"/>
  <c r="V24" i="26"/>
  <c r="V23" i="26" s="1"/>
  <c r="T24" i="26"/>
  <c r="S24" i="26"/>
  <c r="Q24" i="26"/>
  <c r="P24" i="26"/>
  <c r="P23" i="26" s="1"/>
  <c r="N24" i="26"/>
  <c r="N23" i="26" s="1"/>
  <c r="M24" i="26"/>
  <c r="M23" i="26" s="1"/>
  <c r="K24" i="26"/>
  <c r="K23" i="26" s="1"/>
  <c r="J24" i="26"/>
  <c r="J23" i="26" s="1"/>
  <c r="H24" i="26"/>
  <c r="H23" i="26" s="1"/>
  <c r="G24" i="26"/>
  <c r="G23" i="26" s="1"/>
  <c r="E24" i="26"/>
  <c r="E23" i="26" s="1"/>
  <c r="D24" i="26"/>
  <c r="D23" i="26" s="1"/>
  <c r="BK10" i="26"/>
  <c r="BJ10" i="26"/>
  <c r="BI10" i="26"/>
  <c r="BH10" i="26"/>
  <c r="BG10" i="26"/>
  <c r="BF10" i="26"/>
  <c r="BE10" i="26"/>
  <c r="BD10" i="26"/>
  <c r="BC10" i="26"/>
  <c r="BB10" i="26"/>
  <c r="BA10" i="26"/>
  <c r="AZ10" i="26"/>
  <c r="AY10" i="26"/>
  <c r="AX10" i="26"/>
  <c r="AW10" i="26"/>
  <c r="AV10" i="26"/>
  <c r="AU10" i="26"/>
  <c r="AT10" i="26"/>
  <c r="AS10" i="26"/>
  <c r="AR10" i="26"/>
  <c r="AQ10" i="26"/>
  <c r="AP10" i="26"/>
  <c r="AO10" i="26"/>
  <c r="AN10" i="26"/>
  <c r="AM10" i="26"/>
  <c r="AL10" i="26"/>
  <c r="AK10" i="26"/>
  <c r="AJ10" i="26"/>
  <c r="AI10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A9" i="32" l="1"/>
  <c r="A10" i="34"/>
  <c r="A11" i="32"/>
  <c r="A12" i="34"/>
  <c r="B14" i="32"/>
  <c r="B15" i="34"/>
  <c r="B12" i="32"/>
  <c r="B13" i="34"/>
  <c r="A15" i="32"/>
  <c r="A16" i="34"/>
  <c r="A10" i="32"/>
  <c r="A11" i="34"/>
  <c r="A14" i="32"/>
  <c r="A15" i="34"/>
  <c r="A13" i="32"/>
  <c r="A14" i="34"/>
  <c r="A12" i="32"/>
  <c r="A13" i="34"/>
  <c r="Y29" i="26"/>
  <c r="Z31" i="26"/>
  <c r="B13" i="32"/>
  <c r="B14" i="34"/>
  <c r="B11" i="32"/>
  <c r="B12" i="34"/>
  <c r="AD30" i="26"/>
  <c r="W50" i="27"/>
  <c r="Z50" i="28"/>
  <c r="BU25" i="26"/>
  <c r="BR24" i="26"/>
  <c r="BR23" i="26" s="1"/>
  <c r="BY25" i="26"/>
  <c r="BV24" i="26"/>
  <c r="D11" i="26"/>
  <c r="K11" i="26"/>
  <c r="H11" i="26"/>
  <c r="E11" i="26"/>
  <c r="G11" i="26"/>
  <c r="N12" i="26"/>
  <c r="M12" i="26"/>
  <c r="AI23" i="26"/>
  <c r="AA31" i="26" l="1"/>
  <c r="Z29" i="26"/>
  <c r="AE30" i="26"/>
  <c r="X50" i="27"/>
  <c r="Y50" i="27" s="1"/>
  <c r="AA50" i="28"/>
  <c r="BY24" i="26"/>
  <c r="CB25" i="26"/>
  <c r="BU24" i="26"/>
  <c r="BU23" i="26" s="1"/>
  <c r="BX25" i="26"/>
  <c r="BS23" i="26"/>
  <c r="BS11" i="26" s="1"/>
  <c r="BJ23" i="26"/>
  <c r="BG23" i="26"/>
  <c r="J12" i="26"/>
  <c r="M11" i="26"/>
  <c r="AB31" i="26" l="1"/>
  <c r="AA29" i="26"/>
  <c r="E28" i="32"/>
  <c r="E26" i="32" s="1"/>
  <c r="AF30" i="26"/>
  <c r="Z50" i="27"/>
  <c r="AA50" i="27"/>
  <c r="CA25" i="26"/>
  <c r="BX24" i="26"/>
  <c r="CE25" i="26"/>
  <c r="CB24" i="26"/>
  <c r="BX23" i="26"/>
  <c r="BV23" i="26"/>
  <c r="BV11" i="26" s="1"/>
  <c r="J11" i="26"/>
  <c r="BN12" i="26"/>
  <c r="BM12" i="26"/>
  <c r="AC31" i="26" l="1"/>
  <c r="AB29" i="26"/>
  <c r="AG30" i="26"/>
  <c r="CE24" i="26"/>
  <c r="CH25" i="26"/>
  <c r="CH24" i="26" s="1"/>
  <c r="CA24" i="26"/>
  <c r="CD25" i="26"/>
  <c r="N11" i="26"/>
  <c r="AD31" i="26" l="1"/>
  <c r="AC29" i="26"/>
  <c r="AH30" i="26"/>
  <c r="CG25" i="26"/>
  <c r="CG24" i="26" s="1"/>
  <c r="CD24" i="26"/>
  <c r="CD23" i="26" s="1"/>
  <c r="AE31" i="26" l="1"/>
  <c r="AD29" i="26"/>
  <c r="AI30" i="26"/>
  <c r="C42" i="23"/>
  <c r="C41" i="23"/>
  <c r="C39" i="23"/>
  <c r="C34" i="23"/>
  <c r="C35" i="23"/>
  <c r="C36" i="23"/>
  <c r="C33" i="23"/>
  <c r="C29" i="23"/>
  <c r="C30" i="23"/>
  <c r="C31" i="23"/>
  <c r="C28" i="23"/>
  <c r="A42" i="23"/>
  <c r="A28" i="26" s="1"/>
  <c r="B42" i="23"/>
  <c r="B28" i="26" s="1"/>
  <c r="B41" i="23"/>
  <c r="B27" i="26" s="1"/>
  <c r="A41" i="23"/>
  <c r="A27" i="26" s="1"/>
  <c r="B40" i="23"/>
  <c r="B26" i="26" s="1"/>
  <c r="A40" i="23"/>
  <c r="A26" i="26" s="1"/>
  <c r="B39" i="23"/>
  <c r="B25" i="26" s="1"/>
  <c r="A39" i="23"/>
  <c r="A25" i="26" s="1"/>
  <c r="B38" i="23"/>
  <c r="B24" i="26" s="1"/>
  <c r="A38" i="23"/>
  <c r="A24" i="26" s="1"/>
  <c r="A37" i="23"/>
  <c r="A23" i="26" s="1"/>
  <c r="B37" i="23"/>
  <c r="B23" i="26" s="1"/>
  <c r="A34" i="23"/>
  <c r="A20" i="26" s="1"/>
  <c r="B34" i="23"/>
  <c r="B20" i="26" s="1"/>
  <c r="A35" i="23"/>
  <c r="A21" i="26" s="1"/>
  <c r="B35" i="23"/>
  <c r="B21" i="26" s="1"/>
  <c r="A36" i="23"/>
  <c r="A22" i="26" s="1"/>
  <c r="B36" i="23"/>
  <c r="B33" i="23"/>
  <c r="B19" i="26" s="1"/>
  <c r="A33" i="23"/>
  <c r="A19" i="26" s="1"/>
  <c r="B32" i="23"/>
  <c r="B18" i="26" s="1"/>
  <c r="A28" i="23"/>
  <c r="A29" i="23"/>
  <c r="A30" i="23"/>
  <c r="B30" i="23"/>
  <c r="A31" i="23"/>
  <c r="B31" i="23"/>
  <c r="C33" i="33" s="1"/>
  <c r="A26" i="23"/>
  <c r="A16" i="32" l="1"/>
  <c r="A17" i="34"/>
  <c r="B20" i="32"/>
  <c r="B21" i="34"/>
  <c r="A21" i="32"/>
  <c r="A22" i="34"/>
  <c r="A22" i="32"/>
  <c r="A23" i="34"/>
  <c r="A23" i="32"/>
  <c r="A24" i="34"/>
  <c r="A24" i="32"/>
  <c r="A25" i="34"/>
  <c r="A19" i="32"/>
  <c r="A20" i="34"/>
  <c r="A18" i="32"/>
  <c r="A19" i="34"/>
  <c r="A17" i="32"/>
  <c r="A18" i="34"/>
  <c r="B21" i="32"/>
  <c r="B22" i="34"/>
  <c r="B22" i="32"/>
  <c r="B23" i="34"/>
  <c r="B23" i="32"/>
  <c r="B24" i="34"/>
  <c r="B24" i="32"/>
  <c r="B25" i="34"/>
  <c r="A25" i="32"/>
  <c r="A26" i="34"/>
  <c r="AE29" i="26"/>
  <c r="AF31" i="26"/>
  <c r="B25" i="32"/>
  <c r="B26" i="34"/>
  <c r="B15" i="32"/>
  <c r="B16" i="34"/>
  <c r="B22" i="26"/>
  <c r="C34" i="33"/>
  <c r="B18" i="32"/>
  <c r="B19" i="34"/>
  <c r="B17" i="32"/>
  <c r="B18" i="34"/>
  <c r="B16" i="32"/>
  <c r="B17" i="34"/>
  <c r="AJ30" i="26"/>
  <c r="G41" i="23"/>
  <c r="G42" i="23"/>
  <c r="G39" i="23"/>
  <c r="G33" i="23"/>
  <c r="G34" i="23"/>
  <c r="G35" i="23"/>
  <c r="G36" i="23"/>
  <c r="G31" i="23"/>
  <c r="C14" i="32" s="1"/>
  <c r="G30" i="23"/>
  <c r="C13" i="32" s="1"/>
  <c r="B10" i="25"/>
  <c r="B9" i="25"/>
  <c r="B12" i="26" s="1"/>
  <c r="G29" i="23"/>
  <c r="B26" i="23"/>
  <c r="A4" i="23"/>
  <c r="B25" i="23" s="1"/>
  <c r="H40" i="23"/>
  <c r="H43" i="23" s="1"/>
  <c r="H38" i="23"/>
  <c r="H37" i="23"/>
  <c r="H32" i="23"/>
  <c r="H26" i="23"/>
  <c r="H25" i="23"/>
  <c r="A25" i="23"/>
  <c r="D19" i="10"/>
  <c r="B9" i="32" l="1"/>
  <c r="B10" i="34"/>
  <c r="C14" i="10"/>
  <c r="C12" i="10" s="1"/>
  <c r="C8" i="10" s="1"/>
  <c r="H14" i="33"/>
  <c r="AG31" i="26"/>
  <c r="AF29" i="26"/>
  <c r="C12" i="32"/>
  <c r="H13" i="33"/>
  <c r="B19" i="32"/>
  <c r="B20" i="34"/>
  <c r="AK30" i="26"/>
  <c r="C21" i="26"/>
  <c r="BR21" i="26" s="1"/>
  <c r="C18" i="32"/>
  <c r="BI23" i="26"/>
  <c r="C25" i="26"/>
  <c r="F25" i="26" s="1"/>
  <c r="F24" i="26" s="1"/>
  <c r="C22" i="32"/>
  <c r="C21" i="32" s="1"/>
  <c r="C28" i="26"/>
  <c r="C25" i="32"/>
  <c r="C22" i="26"/>
  <c r="BO22" i="26" s="1"/>
  <c r="C19" i="32"/>
  <c r="C27" i="26"/>
  <c r="CG27" i="26" s="1"/>
  <c r="C24" i="32"/>
  <c r="C20" i="26"/>
  <c r="CG20" i="26" s="1"/>
  <c r="C17" i="32"/>
  <c r="C19" i="26"/>
  <c r="BF19" i="26" s="1"/>
  <c r="C16" i="32"/>
  <c r="CD21" i="26"/>
  <c r="BI21" i="26"/>
  <c r="I23" i="25"/>
  <c r="G28" i="23"/>
  <c r="I10" i="25"/>
  <c r="B13" i="26"/>
  <c r="B27" i="23"/>
  <c r="A61" i="30"/>
  <c r="D8" i="30" s="1"/>
  <c r="C17" i="26"/>
  <c r="AZ20" i="26"/>
  <c r="D8" i="28"/>
  <c r="D11" i="28" s="1"/>
  <c r="C15" i="26"/>
  <c r="A61" i="29"/>
  <c r="D8" i="29" s="1"/>
  <c r="C16" i="26"/>
  <c r="I15" i="25"/>
  <c r="BC22" i="26"/>
  <c r="BI22" i="26"/>
  <c r="I21" i="25"/>
  <c r="C16" i="10" s="1"/>
  <c r="AW20" i="26" l="1"/>
  <c r="C11" i="32"/>
  <c r="C10" i="32" s="1"/>
  <c r="H12" i="33"/>
  <c r="H15" i="33" s="1"/>
  <c r="G63" i="33" s="1"/>
  <c r="AU23" i="26"/>
  <c r="CG28" i="26"/>
  <c r="CG23" i="26" s="1"/>
  <c r="CB28" i="26"/>
  <c r="CE28" i="26"/>
  <c r="AG29" i="26"/>
  <c r="AH31" i="26"/>
  <c r="G40" i="23"/>
  <c r="C17" i="10"/>
  <c r="C15" i="10" s="1"/>
  <c r="C19" i="10" s="1"/>
  <c r="I20" i="25"/>
  <c r="G37" i="23" s="1"/>
  <c r="C23" i="26" s="1"/>
  <c r="B10" i="32"/>
  <c r="B11" i="34"/>
  <c r="AL30" i="26"/>
  <c r="I25" i="26"/>
  <c r="CI22" i="26"/>
  <c r="AH20" i="26"/>
  <c r="BC21" i="26"/>
  <c r="AT22" i="26"/>
  <c r="AN22" i="26"/>
  <c r="BU22" i="26"/>
  <c r="AN20" i="26"/>
  <c r="CD20" i="26"/>
  <c r="AN21" i="26"/>
  <c r="BX21" i="26"/>
  <c r="AH22" i="26"/>
  <c r="CD22" i="26"/>
  <c r="P22" i="26"/>
  <c r="BL22" i="26"/>
  <c r="Y22" i="26"/>
  <c r="AE22" i="26"/>
  <c r="CA22" i="26"/>
  <c r="BX20" i="26"/>
  <c r="AE20" i="26"/>
  <c r="BF20" i="26"/>
  <c r="BO20" i="26"/>
  <c r="AW21" i="26"/>
  <c r="CI21" i="26"/>
  <c r="CA21" i="26"/>
  <c r="BF21" i="26"/>
  <c r="AQ20" i="26"/>
  <c r="Y20" i="26"/>
  <c r="BD27" i="26"/>
  <c r="BD23" i="26" s="1"/>
  <c r="V22" i="26"/>
  <c r="BF22" i="26"/>
  <c r="AK22" i="26"/>
  <c r="CG22" i="26"/>
  <c r="AB22" i="26"/>
  <c r="AZ22" i="26"/>
  <c r="BX22" i="26"/>
  <c r="BR22" i="26"/>
  <c r="AW22" i="26"/>
  <c r="S22" i="26"/>
  <c r="S18" i="26" s="1"/>
  <c r="AQ22" i="26"/>
  <c r="P20" i="26"/>
  <c r="AB20" i="26"/>
  <c r="BL20" i="26"/>
  <c r="CI20" i="26"/>
  <c r="V20" i="26"/>
  <c r="AT20" i="26"/>
  <c r="BR20" i="26"/>
  <c r="S20" i="26"/>
  <c r="BC20" i="26"/>
  <c r="CA20" i="26"/>
  <c r="AK20" i="26"/>
  <c r="AK18" i="26" s="1"/>
  <c r="BU21" i="26"/>
  <c r="CG21" i="26"/>
  <c r="AZ21" i="26"/>
  <c r="AQ21" i="26"/>
  <c r="BO21" i="26"/>
  <c r="BL21" i="26"/>
  <c r="AT21" i="26"/>
  <c r="C20" i="32"/>
  <c r="BI19" i="26"/>
  <c r="CA27" i="26"/>
  <c r="CA23" i="26" s="1"/>
  <c r="BA27" i="26"/>
  <c r="BC19" i="26"/>
  <c r="BC18" i="26" s="1"/>
  <c r="BC27" i="26"/>
  <c r="BC23" i="26" s="1"/>
  <c r="BO19" i="26"/>
  <c r="BO18" i="26" s="1"/>
  <c r="BO12" i="26" s="1"/>
  <c r="BY27" i="26"/>
  <c r="BY23" i="26" s="1"/>
  <c r="BY11" i="26" s="1"/>
  <c r="AN19" i="26"/>
  <c r="AN18" i="26" s="1"/>
  <c r="BU19" i="26"/>
  <c r="AQ27" i="26"/>
  <c r="AQ23" i="26" s="1"/>
  <c r="CI19" i="26"/>
  <c r="BR19" i="26"/>
  <c r="AW19" i="26"/>
  <c r="AQ19" i="26"/>
  <c r="T27" i="26"/>
  <c r="T23" i="26" s="1"/>
  <c r="CH27" i="26"/>
  <c r="CH23" i="26" s="1"/>
  <c r="CH11" i="26" s="1"/>
  <c r="BP27" i="26"/>
  <c r="BP23" i="26" s="1"/>
  <c r="BP11" i="26" s="1"/>
  <c r="BM27" i="26"/>
  <c r="BM23" i="26" s="1"/>
  <c r="BM11" i="26" s="1"/>
  <c r="BO27" i="26"/>
  <c r="BO23" i="26" s="1"/>
  <c r="AT19" i="26"/>
  <c r="CA19" i="26"/>
  <c r="AZ19" i="26"/>
  <c r="CG19" i="26"/>
  <c r="CG18" i="26" s="1"/>
  <c r="CG12" i="26" s="1"/>
  <c r="F17" i="32"/>
  <c r="AF27" i="26"/>
  <c r="AF23" i="26" s="1"/>
  <c r="Q27" i="26"/>
  <c r="Q23" i="26" s="1"/>
  <c r="AR27" i="26"/>
  <c r="AR23" i="26" s="1"/>
  <c r="AO27" i="26"/>
  <c r="AO23" i="26" s="1"/>
  <c r="S27" i="26"/>
  <c r="S23" i="26" s="1"/>
  <c r="AE27" i="26"/>
  <c r="AE23" i="26" s="1"/>
  <c r="AC27" i="26"/>
  <c r="AC23" i="26" s="1"/>
  <c r="CE27" i="26"/>
  <c r="CB27" i="26"/>
  <c r="CD19" i="26"/>
  <c r="CD18" i="26" s="1"/>
  <c r="CD12" i="26" s="1"/>
  <c r="CD11" i="26" s="1"/>
  <c r="BL19" i="26"/>
  <c r="BX19" i="26"/>
  <c r="BX18" i="26" s="1"/>
  <c r="BX12" i="26" s="1"/>
  <c r="BX11" i="26" s="1"/>
  <c r="C15" i="32"/>
  <c r="H19" i="32"/>
  <c r="I19" i="32"/>
  <c r="I18" i="32"/>
  <c r="J19" i="32"/>
  <c r="G18" i="32"/>
  <c r="BU20" i="26"/>
  <c r="I17" i="32" s="1"/>
  <c r="BI20" i="26"/>
  <c r="J17" i="32"/>
  <c r="BR18" i="26"/>
  <c r="BR12" i="26" s="1"/>
  <c r="BR11" i="26" s="1"/>
  <c r="G32" i="23"/>
  <c r="C18" i="26" s="1"/>
  <c r="D40" i="28"/>
  <c r="D32" i="28"/>
  <c r="D36" i="28"/>
  <c r="D30" i="28"/>
  <c r="D19" i="28"/>
  <c r="D23" i="28"/>
  <c r="D38" i="28"/>
  <c r="D41" i="28"/>
  <c r="D34" i="28"/>
  <c r="D26" i="28"/>
  <c r="D28" i="28"/>
  <c r="D21" i="28"/>
  <c r="D35" i="28"/>
  <c r="D39" i="28"/>
  <c r="D31" i="28"/>
  <c r="D24" i="28"/>
  <c r="D27" i="28"/>
  <c r="D20" i="28"/>
  <c r="D42" i="28"/>
  <c r="D33" i="28"/>
  <c r="D37" i="28"/>
  <c r="D29" i="28"/>
  <c r="D22" i="28"/>
  <c r="D25" i="28"/>
  <c r="D18" i="28"/>
  <c r="AE18" i="26"/>
  <c r="Y18" i="26"/>
  <c r="BF18" i="26"/>
  <c r="V18" i="26"/>
  <c r="CJ21" i="26"/>
  <c r="F23" i="26"/>
  <c r="F11" i="26" s="1"/>
  <c r="CJ28" i="26"/>
  <c r="AT18" i="26"/>
  <c r="CA18" i="26"/>
  <c r="CA12" i="26" s="1"/>
  <c r="CA11" i="26" s="1"/>
  <c r="C60" i="29"/>
  <c r="B58" i="29"/>
  <c r="AA58" i="29" s="1"/>
  <c r="A63" i="29"/>
  <c r="A62" i="29"/>
  <c r="G27" i="23"/>
  <c r="C13" i="26" s="1"/>
  <c r="I24" i="26"/>
  <c r="I23" i="26" s="1"/>
  <c r="I11" i="26" s="1"/>
  <c r="L25" i="26"/>
  <c r="AB18" i="26"/>
  <c r="A62" i="30"/>
  <c r="C60" i="30"/>
  <c r="B58" i="30"/>
  <c r="AA58" i="30" s="1"/>
  <c r="A63" i="30"/>
  <c r="D8" i="27"/>
  <c r="D11" i="27" s="1"/>
  <c r="C14" i="26"/>
  <c r="G38" i="23"/>
  <c r="C24" i="26" s="1"/>
  <c r="CG11" i="26" l="1"/>
  <c r="F19" i="32"/>
  <c r="AI31" i="26"/>
  <c r="AH29" i="26"/>
  <c r="J25" i="32"/>
  <c r="G70" i="33"/>
  <c r="H63" i="33" s="1"/>
  <c r="CE23" i="26"/>
  <c r="CE11" i="26" s="1"/>
  <c r="D15" i="10"/>
  <c r="D8" i="10"/>
  <c r="E17" i="32"/>
  <c r="J18" i="32"/>
  <c r="E19" i="32"/>
  <c r="G17" i="32"/>
  <c r="G19" i="32"/>
  <c r="H18" i="32"/>
  <c r="AH18" i="26"/>
  <c r="P18" i="26"/>
  <c r="CJ22" i="26"/>
  <c r="H17" i="32"/>
  <c r="AZ18" i="26"/>
  <c r="AW18" i="26"/>
  <c r="CI18" i="26"/>
  <c r="CI12" i="26" s="1"/>
  <c r="AM30" i="26"/>
  <c r="J24" i="32"/>
  <c r="CJ19" i="26"/>
  <c r="H24" i="32"/>
  <c r="J16" i="32"/>
  <c r="H16" i="32"/>
  <c r="G16" i="32"/>
  <c r="AQ18" i="26"/>
  <c r="I16" i="32"/>
  <c r="I15" i="32" s="1"/>
  <c r="BA23" i="26"/>
  <c r="C9" i="32"/>
  <c r="C30" i="32" s="1"/>
  <c r="F24" i="32"/>
  <c r="BO11" i="26"/>
  <c r="BL18" i="26"/>
  <c r="J15" i="32"/>
  <c r="J9" i="32" s="1"/>
  <c r="CJ27" i="26"/>
  <c r="I24" i="32"/>
  <c r="E24" i="32"/>
  <c r="G24" i="32"/>
  <c r="BU18" i="26"/>
  <c r="BU12" i="26" s="1"/>
  <c r="BU11" i="26" s="1"/>
  <c r="F15" i="32"/>
  <c r="G25" i="32"/>
  <c r="CB23" i="26"/>
  <c r="CB11" i="26" s="1"/>
  <c r="CJ20" i="26"/>
  <c r="G15" i="32"/>
  <c r="BI18" i="26"/>
  <c r="E15" i="32"/>
  <c r="C63" i="30"/>
  <c r="C57" i="30" s="1"/>
  <c r="D11" i="30"/>
  <c r="D24" i="30" s="1"/>
  <c r="L24" i="26"/>
  <c r="L23" i="26" s="1"/>
  <c r="L11" i="26" s="1"/>
  <c r="O25" i="26"/>
  <c r="D22" i="32" s="1"/>
  <c r="H29" i="28"/>
  <c r="J29" i="28"/>
  <c r="M51" i="28" s="1"/>
  <c r="J20" i="28"/>
  <c r="D51" i="28" s="1"/>
  <c r="H20" i="28"/>
  <c r="H39" i="28"/>
  <c r="J39" i="28"/>
  <c r="W51" i="28" s="1"/>
  <c r="J26" i="28"/>
  <c r="J51" i="28" s="1"/>
  <c r="H26" i="28"/>
  <c r="J23" i="28"/>
  <c r="G51" i="28" s="1"/>
  <c r="H23" i="28"/>
  <c r="J32" i="28"/>
  <c r="P51" i="28" s="1"/>
  <c r="H32" i="28"/>
  <c r="H18" i="28"/>
  <c r="E18" i="28"/>
  <c r="D43" i="28"/>
  <c r="J18" i="28"/>
  <c r="J37" i="28"/>
  <c r="U51" i="28" s="1"/>
  <c r="H37" i="28"/>
  <c r="H27" i="28"/>
  <c r="J27" i="28"/>
  <c r="K51" i="28" s="1"/>
  <c r="J35" i="28"/>
  <c r="S51" i="28" s="1"/>
  <c r="H35" i="28"/>
  <c r="H34" i="28"/>
  <c r="J34" i="28"/>
  <c r="R51" i="28" s="1"/>
  <c r="J19" i="28"/>
  <c r="C51" i="28" s="1"/>
  <c r="H19" i="28"/>
  <c r="J40" i="28"/>
  <c r="X51" i="28" s="1"/>
  <c r="H40" i="28"/>
  <c r="C63" i="29"/>
  <c r="C57" i="29" s="1"/>
  <c r="D11" i="29"/>
  <c r="J25" i="28"/>
  <c r="I51" i="28" s="1"/>
  <c r="H25" i="28"/>
  <c r="J33" i="28"/>
  <c r="H33" i="28"/>
  <c r="J24" i="28"/>
  <c r="H51" i="28" s="1"/>
  <c r="H24" i="28"/>
  <c r="J21" i="28"/>
  <c r="H21" i="28"/>
  <c r="J41" i="28"/>
  <c r="Y51" i="28" s="1"/>
  <c r="H41" i="28"/>
  <c r="J30" i="28"/>
  <c r="N51" i="28" s="1"/>
  <c r="H30" i="28"/>
  <c r="D33" i="27"/>
  <c r="D42" i="27"/>
  <c r="D27" i="27"/>
  <c r="D30" i="27"/>
  <c r="D34" i="27"/>
  <c r="D38" i="27"/>
  <c r="D20" i="27"/>
  <c r="D24" i="27"/>
  <c r="D28" i="27"/>
  <c r="D31" i="27"/>
  <c r="D35" i="27"/>
  <c r="D39" i="27"/>
  <c r="D21" i="27"/>
  <c r="D25" i="27"/>
  <c r="D19" i="27"/>
  <c r="D40" i="27"/>
  <c r="D32" i="27"/>
  <c r="D36" i="27"/>
  <c r="D41" i="27"/>
  <c r="D22" i="27"/>
  <c r="D26" i="27"/>
  <c r="D29" i="27"/>
  <c r="D37" i="27"/>
  <c r="D23" i="27"/>
  <c r="D18" i="27"/>
  <c r="J22" i="28"/>
  <c r="F51" i="28" s="1"/>
  <c r="H22" i="28"/>
  <c r="J42" i="28"/>
  <c r="Z51" i="28" s="1"/>
  <c r="H42" i="28"/>
  <c r="H31" i="28"/>
  <c r="J31" i="28"/>
  <c r="O51" i="28" s="1"/>
  <c r="J28" i="28"/>
  <c r="L51" i="28" s="1"/>
  <c r="H28" i="28"/>
  <c r="H38" i="28"/>
  <c r="J38" i="28"/>
  <c r="V51" i="28" s="1"/>
  <c r="J36" i="28"/>
  <c r="T51" i="28" s="1"/>
  <c r="H36" i="28"/>
  <c r="I9" i="25"/>
  <c r="H67" i="33" l="1"/>
  <c r="H69" i="33"/>
  <c r="H68" i="33"/>
  <c r="H65" i="33"/>
  <c r="H66" i="33"/>
  <c r="H64" i="33"/>
  <c r="D21" i="32"/>
  <c r="K22" i="34" s="1"/>
  <c r="K23" i="34"/>
  <c r="H70" i="33"/>
  <c r="AJ31" i="26"/>
  <c r="AI29" i="26"/>
  <c r="H15" i="32"/>
  <c r="AN30" i="26"/>
  <c r="F27" i="32"/>
  <c r="CJ18" i="26"/>
  <c r="I33" i="28"/>
  <c r="I23" i="28"/>
  <c r="I20" i="28"/>
  <c r="I41" i="28"/>
  <c r="I24" i="28"/>
  <c r="I19" i="28"/>
  <c r="I18" i="28"/>
  <c r="I38" i="28"/>
  <c r="I30" i="28"/>
  <c r="I25" i="28"/>
  <c r="I37" i="28"/>
  <c r="I29" i="28"/>
  <c r="I36" i="28"/>
  <c r="I28" i="28"/>
  <c r="I42" i="28"/>
  <c r="I22" i="28"/>
  <c r="BL15" i="26"/>
  <c r="I12" i="32" s="1"/>
  <c r="Z52" i="28"/>
  <c r="J29" i="27"/>
  <c r="M51" i="27" s="1"/>
  <c r="M52" i="27" s="1"/>
  <c r="Z14" i="26" s="1"/>
  <c r="H29" i="27"/>
  <c r="H36" i="27"/>
  <c r="J36" i="27"/>
  <c r="H25" i="27"/>
  <c r="J25" i="27"/>
  <c r="I51" i="27" s="1"/>
  <c r="I52" i="27" s="1"/>
  <c r="V14" i="26" s="1"/>
  <c r="H31" i="27"/>
  <c r="J31" i="27"/>
  <c r="O51" i="27" s="1"/>
  <c r="O52" i="27" s="1"/>
  <c r="AB14" i="26" s="1"/>
  <c r="J38" i="27"/>
  <c r="V51" i="27" s="1"/>
  <c r="V52" i="27" s="1"/>
  <c r="AI14" i="26" s="1"/>
  <c r="H38" i="27"/>
  <c r="J42" i="27"/>
  <c r="Z51" i="27" s="1"/>
  <c r="Z52" i="27" s="1"/>
  <c r="AM14" i="26" s="1"/>
  <c r="H42" i="27"/>
  <c r="N52" i="28"/>
  <c r="AZ15" i="26"/>
  <c r="I21" i="28"/>
  <c r="H52" i="28"/>
  <c r="AT15" i="26"/>
  <c r="D57" i="29"/>
  <c r="E57" i="29" s="1"/>
  <c r="F57" i="29" s="1"/>
  <c r="G57" i="29" s="1"/>
  <c r="H57" i="29" s="1"/>
  <c r="I57" i="29" s="1"/>
  <c r="J57" i="29" s="1"/>
  <c r="K57" i="29" s="1"/>
  <c r="L57" i="29" s="1"/>
  <c r="M57" i="29" s="1"/>
  <c r="N57" i="29" s="1"/>
  <c r="O57" i="29" s="1"/>
  <c r="P57" i="29" s="1"/>
  <c r="Q57" i="29" s="1"/>
  <c r="R57" i="29" s="1"/>
  <c r="S57" i="29" s="1"/>
  <c r="T57" i="29" s="1"/>
  <c r="U57" i="29" s="1"/>
  <c r="V57" i="29" s="1"/>
  <c r="W57" i="29" s="1"/>
  <c r="X57" i="29" s="1"/>
  <c r="Y57" i="29" s="1"/>
  <c r="Z57" i="29" s="1"/>
  <c r="I40" i="28"/>
  <c r="C52" i="28"/>
  <c r="AO15" i="26"/>
  <c r="S52" i="28"/>
  <c r="BE15" i="26"/>
  <c r="BI15" i="26"/>
  <c r="W52" i="28"/>
  <c r="D52" i="28"/>
  <c r="AP15" i="26"/>
  <c r="D57" i="30"/>
  <c r="E57" i="30" s="1"/>
  <c r="F57" i="30" s="1"/>
  <c r="G57" i="30" s="1"/>
  <c r="H57" i="30" s="1"/>
  <c r="I57" i="30" s="1"/>
  <c r="J57" i="30" s="1"/>
  <c r="T52" i="28"/>
  <c r="BF15" i="26"/>
  <c r="L52" i="28"/>
  <c r="AX15" i="26"/>
  <c r="J18" i="27"/>
  <c r="H18" i="27"/>
  <c r="E18" i="27"/>
  <c r="J32" i="27"/>
  <c r="P51" i="27" s="1"/>
  <c r="P52" i="27" s="1"/>
  <c r="AC14" i="26" s="1"/>
  <c r="H32" i="27"/>
  <c r="J28" i="27"/>
  <c r="L51" i="27" s="1"/>
  <c r="L52" i="27" s="1"/>
  <c r="Y14" i="26" s="1"/>
  <c r="H28" i="27"/>
  <c r="H33" i="27"/>
  <c r="J33" i="27"/>
  <c r="BJ15" i="26"/>
  <c r="X52" i="28"/>
  <c r="R52" i="28"/>
  <c r="BD15" i="26"/>
  <c r="K52" i="28"/>
  <c r="AW15" i="26"/>
  <c r="U52" i="28"/>
  <c r="BG15" i="26"/>
  <c r="E19" i="28"/>
  <c r="G52" i="28"/>
  <c r="AS15" i="26"/>
  <c r="I39" i="28"/>
  <c r="O24" i="26"/>
  <c r="R25" i="26"/>
  <c r="I8" i="25"/>
  <c r="G25" i="23" s="1"/>
  <c r="C11" i="26" s="1"/>
  <c r="G26" i="23"/>
  <c r="C12" i="26" s="1"/>
  <c r="O52" i="28"/>
  <c r="BA15" i="26"/>
  <c r="J26" i="27"/>
  <c r="J51" i="27" s="1"/>
  <c r="J52" i="27" s="1"/>
  <c r="W14" i="26" s="1"/>
  <c r="H26" i="27"/>
  <c r="J21" i="27"/>
  <c r="H21" i="27"/>
  <c r="H34" i="27"/>
  <c r="J34" i="27"/>
  <c r="R51" i="27" s="1"/>
  <c r="R52" i="27" s="1"/>
  <c r="AE14" i="26" s="1"/>
  <c r="K32" i="28"/>
  <c r="E51" i="28"/>
  <c r="V52" i="28"/>
  <c r="BH15" i="26"/>
  <c r="F52" i="28"/>
  <c r="AR15" i="26"/>
  <c r="H23" i="27"/>
  <c r="J23" i="27"/>
  <c r="G51" i="27" s="1"/>
  <c r="G52" i="27" s="1"/>
  <c r="T14" i="26" s="1"/>
  <c r="J22" i="27"/>
  <c r="F51" i="27" s="1"/>
  <c r="F52" i="27" s="1"/>
  <c r="S14" i="26" s="1"/>
  <c r="H22" i="27"/>
  <c r="D43" i="27"/>
  <c r="J40" i="27"/>
  <c r="X51" i="27" s="1"/>
  <c r="X52" i="27" s="1"/>
  <c r="AK14" i="26" s="1"/>
  <c r="H40" i="27"/>
  <c r="J39" i="27"/>
  <c r="W51" i="27" s="1"/>
  <c r="W52" i="27" s="1"/>
  <c r="AJ14" i="26" s="1"/>
  <c r="H39" i="27"/>
  <c r="J24" i="27"/>
  <c r="H51" i="27" s="1"/>
  <c r="H52" i="27" s="1"/>
  <c r="U14" i="26" s="1"/>
  <c r="H24" i="27"/>
  <c r="J30" i="27"/>
  <c r="N51" i="27" s="1"/>
  <c r="N52" i="27" s="1"/>
  <c r="AA14" i="26" s="1"/>
  <c r="H30" i="27"/>
  <c r="I52" i="28"/>
  <c r="AU15" i="26"/>
  <c r="I34" i="28"/>
  <c r="I27" i="28"/>
  <c r="I32" i="28"/>
  <c r="I26" i="28"/>
  <c r="I31" i="28"/>
  <c r="J37" i="27"/>
  <c r="U51" i="27" s="1"/>
  <c r="U52" i="27" s="1"/>
  <c r="AH14" i="26" s="1"/>
  <c r="H37" i="27"/>
  <c r="J41" i="27"/>
  <c r="Y51" i="27" s="1"/>
  <c r="Y52" i="27" s="1"/>
  <c r="AL14" i="26" s="1"/>
  <c r="H41" i="27"/>
  <c r="H19" i="27"/>
  <c r="J19" i="27"/>
  <c r="C51" i="27" s="1"/>
  <c r="C52" i="27" s="1"/>
  <c r="P14" i="26" s="1"/>
  <c r="H35" i="27"/>
  <c r="J35" i="27"/>
  <c r="J20" i="27"/>
  <c r="D51" i="27" s="1"/>
  <c r="D52" i="27" s="1"/>
  <c r="Q14" i="26" s="1"/>
  <c r="H20" i="27"/>
  <c r="H27" i="27"/>
  <c r="J27" i="27"/>
  <c r="K51" i="27" s="1"/>
  <c r="K52" i="27" s="1"/>
  <c r="X14" i="26" s="1"/>
  <c r="BK15" i="26"/>
  <c r="Y52" i="28"/>
  <c r="Q51" i="28"/>
  <c r="K36" i="28"/>
  <c r="D37" i="29"/>
  <c r="D40" i="29"/>
  <c r="D31" i="29"/>
  <c r="D32" i="29"/>
  <c r="D19" i="29"/>
  <c r="D25" i="29"/>
  <c r="D18" i="29"/>
  <c r="D39" i="29"/>
  <c r="D42" i="29"/>
  <c r="D29" i="29"/>
  <c r="D28" i="29"/>
  <c r="D35" i="29"/>
  <c r="D23" i="29"/>
  <c r="D41" i="29"/>
  <c r="D36" i="29"/>
  <c r="D27" i="29"/>
  <c r="D24" i="29"/>
  <c r="D30" i="29"/>
  <c r="D21" i="29"/>
  <c r="D38" i="29"/>
  <c r="D34" i="29"/>
  <c r="D33" i="29"/>
  <c r="D22" i="29"/>
  <c r="D26" i="29"/>
  <c r="D20" i="29"/>
  <c r="I35" i="28"/>
  <c r="B51" i="28"/>
  <c r="J43" i="28"/>
  <c r="K20" i="28"/>
  <c r="P52" i="28"/>
  <c r="BB15" i="26"/>
  <c r="J52" i="28"/>
  <c r="AV15" i="26"/>
  <c r="M52" i="28"/>
  <c r="AY15" i="26"/>
  <c r="D36" i="30"/>
  <c r="D35" i="30"/>
  <c r="D28" i="30"/>
  <c r="D19" i="30"/>
  <c r="D27" i="30"/>
  <c r="D20" i="30"/>
  <c r="D41" i="30"/>
  <c r="D42" i="30"/>
  <c r="D33" i="30"/>
  <c r="D26" i="30"/>
  <c r="D34" i="30"/>
  <c r="D25" i="30"/>
  <c r="D18" i="30"/>
  <c r="D39" i="30"/>
  <c r="D40" i="30"/>
  <c r="D32" i="30"/>
  <c r="D31" i="30"/>
  <c r="D23" i="30"/>
  <c r="D37" i="30"/>
  <c r="D38" i="30"/>
  <c r="D30" i="30"/>
  <c r="D22" i="30"/>
  <c r="D29" i="30"/>
  <c r="D21" i="30"/>
  <c r="D20" i="32" l="1"/>
  <c r="AK31" i="26"/>
  <c r="AJ29" i="26"/>
  <c r="AO30" i="26"/>
  <c r="H26" i="30"/>
  <c r="J26" i="30"/>
  <c r="J55" i="30" s="1"/>
  <c r="J56" i="30" s="1"/>
  <c r="I25" i="27"/>
  <c r="I30" i="27"/>
  <c r="I39" i="27"/>
  <c r="I36" i="27"/>
  <c r="I24" i="27"/>
  <c r="I22" i="27"/>
  <c r="I38" i="27"/>
  <c r="I34" i="27"/>
  <c r="I33" i="27"/>
  <c r="I19" i="27"/>
  <c r="I18" i="27"/>
  <c r="I27" i="27"/>
  <c r="I35" i="27"/>
  <c r="I37" i="27"/>
  <c r="I40" i="27"/>
  <c r="I23" i="27"/>
  <c r="I26" i="27"/>
  <c r="I32" i="27"/>
  <c r="I31" i="27"/>
  <c r="I43" i="28"/>
  <c r="I44" i="28" s="1"/>
  <c r="I45" i="28" s="1"/>
  <c r="H24" i="30"/>
  <c r="J24" i="30"/>
  <c r="H55" i="30" s="1"/>
  <c r="J36" i="30"/>
  <c r="T55" i="30" s="1"/>
  <c r="T56" i="30" s="1"/>
  <c r="H36" i="30"/>
  <c r="I36" i="30" s="1"/>
  <c r="J20" i="29"/>
  <c r="D55" i="29" s="1"/>
  <c r="H20" i="29"/>
  <c r="J24" i="29"/>
  <c r="H55" i="29" s="1"/>
  <c r="H24" i="29"/>
  <c r="H42" i="29"/>
  <c r="J42" i="29"/>
  <c r="Z55" i="29" s="1"/>
  <c r="J29" i="30"/>
  <c r="M55" i="30" s="1"/>
  <c r="M56" i="30" s="1"/>
  <c r="H29" i="30"/>
  <c r="J37" i="30"/>
  <c r="U55" i="30" s="1"/>
  <c r="U56" i="30" s="1"/>
  <c r="H37" i="30"/>
  <c r="H32" i="30"/>
  <c r="J32" i="30"/>
  <c r="P55" i="30" s="1"/>
  <c r="P56" i="30" s="1"/>
  <c r="H25" i="30"/>
  <c r="J25" i="30"/>
  <c r="I55" i="30" s="1"/>
  <c r="J42" i="30"/>
  <c r="Z55" i="30" s="1"/>
  <c r="Z56" i="30" s="1"/>
  <c r="H42" i="30"/>
  <c r="J19" i="30"/>
  <c r="C55" i="30" s="1"/>
  <c r="H19" i="30"/>
  <c r="J26" i="29"/>
  <c r="J55" i="29" s="1"/>
  <c r="H26" i="29"/>
  <c r="J38" i="29"/>
  <c r="V55" i="29" s="1"/>
  <c r="H38" i="29"/>
  <c r="J27" i="29"/>
  <c r="K55" i="29" s="1"/>
  <c r="H27" i="29"/>
  <c r="H35" i="29"/>
  <c r="J35" i="29"/>
  <c r="S55" i="29" s="1"/>
  <c r="J39" i="29"/>
  <c r="W55" i="29" s="1"/>
  <c r="H39" i="29"/>
  <c r="J32" i="29"/>
  <c r="P55" i="29" s="1"/>
  <c r="H32" i="29"/>
  <c r="S51" i="27"/>
  <c r="S52" i="27" s="1"/>
  <c r="AF14" i="26" s="1"/>
  <c r="I41" i="27"/>
  <c r="Q51" i="27"/>
  <c r="Q52" i="27" s="1"/>
  <c r="AD14" i="26" s="1"/>
  <c r="K36" i="27"/>
  <c r="J43" i="27"/>
  <c r="K20" i="27"/>
  <c r="B51" i="27"/>
  <c r="T51" i="27"/>
  <c r="T52" i="27" s="1"/>
  <c r="AG14" i="26" s="1"/>
  <c r="J38" i="30"/>
  <c r="V55" i="30" s="1"/>
  <c r="V56" i="30" s="1"/>
  <c r="H38" i="30"/>
  <c r="J27" i="30"/>
  <c r="K55" i="30" s="1"/>
  <c r="K56" i="30" s="1"/>
  <c r="H27" i="30"/>
  <c r="J22" i="30"/>
  <c r="F55" i="30" s="1"/>
  <c r="H22" i="30"/>
  <c r="J40" i="30"/>
  <c r="X55" i="30" s="1"/>
  <c r="X56" i="30" s="1"/>
  <c r="H40" i="30"/>
  <c r="J41" i="30"/>
  <c r="Y55" i="30" s="1"/>
  <c r="Y56" i="30" s="1"/>
  <c r="H41" i="30"/>
  <c r="AN15" i="26"/>
  <c r="AA51" i="28"/>
  <c r="AA52" i="28" s="1"/>
  <c r="B52" i="28"/>
  <c r="J21" i="29"/>
  <c r="H21" i="29"/>
  <c r="H31" i="29"/>
  <c r="J31" i="29"/>
  <c r="O55" i="29" s="1"/>
  <c r="I20" i="27"/>
  <c r="E51" i="27"/>
  <c r="E52" i="27" s="1"/>
  <c r="R14" i="26" s="1"/>
  <c r="K32" i="27"/>
  <c r="R24" i="26"/>
  <c r="R23" i="26" s="1"/>
  <c r="U25" i="26"/>
  <c r="K57" i="30"/>
  <c r="L57" i="30" s="1"/>
  <c r="M57" i="30" s="1"/>
  <c r="N57" i="30" s="1"/>
  <c r="O57" i="30" s="1"/>
  <c r="P57" i="30" s="1"/>
  <c r="Q57" i="30" s="1"/>
  <c r="R57" i="30" s="1"/>
  <c r="S57" i="30" s="1"/>
  <c r="T57" i="30" s="1"/>
  <c r="U57" i="30" s="1"/>
  <c r="V57" i="30" s="1"/>
  <c r="W57" i="30" s="1"/>
  <c r="X57" i="30" s="1"/>
  <c r="Y57" i="30" s="1"/>
  <c r="Z57" i="30" s="1"/>
  <c r="J59" i="30"/>
  <c r="AV17" i="26" s="1"/>
  <c r="J21" i="30"/>
  <c r="H21" i="30"/>
  <c r="J33" i="30"/>
  <c r="H33" i="30"/>
  <c r="H23" i="30"/>
  <c r="I23" i="30" s="1"/>
  <c r="J23" i="30"/>
  <c r="G55" i="30" s="1"/>
  <c r="H34" i="30"/>
  <c r="I34" i="30" s="1"/>
  <c r="J34" i="30"/>
  <c r="R55" i="30" s="1"/>
  <c r="R56" i="30" s="1"/>
  <c r="J28" i="30"/>
  <c r="L55" i="30" s="1"/>
  <c r="L56" i="30" s="1"/>
  <c r="H28" i="30"/>
  <c r="J22" i="29"/>
  <c r="F55" i="29" s="1"/>
  <c r="H22" i="29"/>
  <c r="H36" i="29"/>
  <c r="J36" i="29"/>
  <c r="T55" i="29" s="1"/>
  <c r="H28" i="29"/>
  <c r="J28" i="29"/>
  <c r="L55" i="29" s="1"/>
  <c r="D43" i="29"/>
  <c r="J18" i="29"/>
  <c r="H18" i="29"/>
  <c r="E18" i="29"/>
  <c r="J30" i="30"/>
  <c r="N55" i="30" s="1"/>
  <c r="N56" i="30" s="1"/>
  <c r="H30" i="30"/>
  <c r="H31" i="30"/>
  <c r="I31" i="30" s="1"/>
  <c r="J31" i="30"/>
  <c r="O55" i="30" s="1"/>
  <c r="O56" i="30" s="1"/>
  <c r="J39" i="30"/>
  <c r="W55" i="30" s="1"/>
  <c r="W56" i="30" s="1"/>
  <c r="H39" i="30"/>
  <c r="J20" i="30"/>
  <c r="D55" i="30" s="1"/>
  <c r="H20" i="30"/>
  <c r="J35" i="30"/>
  <c r="S55" i="30" s="1"/>
  <c r="S56" i="30" s="1"/>
  <c r="H35" i="30"/>
  <c r="J33" i="29"/>
  <c r="H33" i="29"/>
  <c r="H30" i="29"/>
  <c r="J30" i="29"/>
  <c r="N55" i="29" s="1"/>
  <c r="J41" i="29"/>
  <c r="Y55" i="29" s="1"/>
  <c r="H41" i="29"/>
  <c r="J29" i="29"/>
  <c r="M55" i="29" s="1"/>
  <c r="H29" i="29"/>
  <c r="J25" i="29"/>
  <c r="I55" i="29" s="1"/>
  <c r="H25" i="29"/>
  <c r="J40" i="29"/>
  <c r="X55" i="29" s="1"/>
  <c r="H40" i="29"/>
  <c r="E52" i="28"/>
  <c r="AQ15" i="26"/>
  <c r="O23" i="26"/>
  <c r="E19" i="27"/>
  <c r="AA57" i="29"/>
  <c r="I42" i="27"/>
  <c r="D43" i="30"/>
  <c r="E18" i="30"/>
  <c r="J18" i="30"/>
  <c r="H18" i="30"/>
  <c r="J34" i="29"/>
  <c r="R55" i="29" s="1"/>
  <c r="H34" i="29"/>
  <c r="H23" i="29"/>
  <c r="J23" i="29"/>
  <c r="G55" i="29" s="1"/>
  <c r="J19" i="29"/>
  <c r="H19" i="29"/>
  <c r="J37" i="29"/>
  <c r="U55" i="29" s="1"/>
  <c r="H37" i="29"/>
  <c r="Q52" i="28"/>
  <c r="BC15" i="26"/>
  <c r="H12" i="32" s="1"/>
  <c r="I21" i="27"/>
  <c r="E20" i="28"/>
  <c r="I28" i="27"/>
  <c r="I29" i="27"/>
  <c r="G12" i="32" l="1"/>
  <c r="F11" i="32"/>
  <c r="AK29" i="26"/>
  <c r="AL31" i="26"/>
  <c r="E11" i="32"/>
  <c r="K21" i="34"/>
  <c r="I26" i="30"/>
  <c r="AP30" i="26"/>
  <c r="C55" i="29"/>
  <c r="C56" i="29" s="1"/>
  <c r="C59" i="29" s="1"/>
  <c r="P16" i="26" s="1"/>
  <c r="I56" i="29"/>
  <c r="I59" i="29" s="1"/>
  <c r="V16" i="26" s="1"/>
  <c r="G56" i="29"/>
  <c r="G59" i="29" s="1"/>
  <c r="T16" i="26" s="1"/>
  <c r="N56" i="29"/>
  <c r="N59" i="29" s="1"/>
  <c r="AA16" i="26" s="1"/>
  <c r="AA13" i="26" s="1"/>
  <c r="I35" i="30"/>
  <c r="I39" i="30"/>
  <c r="L56" i="29"/>
  <c r="L59" i="29" s="1"/>
  <c r="Y16" i="26" s="1"/>
  <c r="T56" i="29"/>
  <c r="T59" i="29" s="1"/>
  <c r="AG16" i="26" s="1"/>
  <c r="AG13" i="26" s="1"/>
  <c r="G56" i="30"/>
  <c r="G59" i="30" s="1"/>
  <c r="AS17" i="26" s="1"/>
  <c r="AS13" i="26" s="1"/>
  <c r="AS12" i="26" s="1"/>
  <c r="I41" i="30"/>
  <c r="I40" i="30"/>
  <c r="I38" i="30"/>
  <c r="S56" i="29"/>
  <c r="S59" i="29" s="1"/>
  <c r="AF16" i="26" s="1"/>
  <c r="AF13" i="26" s="1"/>
  <c r="I19" i="30"/>
  <c r="I42" i="30"/>
  <c r="I56" i="30"/>
  <c r="I59" i="30" s="1"/>
  <c r="AU17" i="26" s="1"/>
  <c r="AU13" i="26" s="1"/>
  <c r="AU12" i="26" s="1"/>
  <c r="AU11" i="26" s="1"/>
  <c r="I37" i="30"/>
  <c r="Z56" i="29"/>
  <c r="Z59" i="29" s="1"/>
  <c r="AM16" i="26" s="1"/>
  <c r="AM13" i="26" s="1"/>
  <c r="H56" i="30"/>
  <c r="H59" i="30" s="1"/>
  <c r="AT17" i="26" s="1"/>
  <c r="AT13" i="26" s="1"/>
  <c r="AT12" i="26" s="1"/>
  <c r="AT11" i="26" s="1"/>
  <c r="U56" i="29"/>
  <c r="U59" i="29" s="1"/>
  <c r="AH16" i="26" s="1"/>
  <c r="AH13" i="26" s="1"/>
  <c r="R56" i="29"/>
  <c r="R59" i="29" s="1"/>
  <c r="AE16" i="26" s="1"/>
  <c r="X56" i="29"/>
  <c r="X59" i="29" s="1"/>
  <c r="AK16" i="26" s="1"/>
  <c r="AK13" i="26" s="1"/>
  <c r="M56" i="29"/>
  <c r="M59" i="29" s="1"/>
  <c r="Z16" i="26" s="1"/>
  <c r="Y56" i="29"/>
  <c r="Y59" i="29" s="1"/>
  <c r="AL16" i="26" s="1"/>
  <c r="AL13" i="26" s="1"/>
  <c r="AL12" i="26" s="1"/>
  <c r="AL11" i="26" s="1"/>
  <c r="D56" i="30"/>
  <c r="D59" i="30" s="1"/>
  <c r="AP17" i="26" s="1"/>
  <c r="AP13" i="26" s="1"/>
  <c r="AP12" i="26" s="1"/>
  <c r="F56" i="29"/>
  <c r="F59" i="29" s="1"/>
  <c r="S16" i="26" s="1"/>
  <c r="O56" i="29"/>
  <c r="O59" i="29" s="1"/>
  <c r="AB16" i="26" s="1"/>
  <c r="F56" i="30"/>
  <c r="F59" i="30" s="1"/>
  <c r="AR17" i="26" s="1"/>
  <c r="AR13" i="26" s="1"/>
  <c r="AR12" i="26" s="1"/>
  <c r="AR11" i="26" s="1"/>
  <c r="P56" i="29"/>
  <c r="P59" i="29" s="1"/>
  <c r="AC16" i="26" s="1"/>
  <c r="AC13" i="26" s="1"/>
  <c r="W56" i="29"/>
  <c r="W59" i="29" s="1"/>
  <c r="AJ16" i="26" s="1"/>
  <c r="AJ13" i="26" s="1"/>
  <c r="K56" i="29"/>
  <c r="K59" i="29" s="1"/>
  <c r="X16" i="26" s="1"/>
  <c r="V56" i="29"/>
  <c r="V59" i="29" s="1"/>
  <c r="AI16" i="26" s="1"/>
  <c r="J56" i="29"/>
  <c r="J59" i="29" s="1"/>
  <c r="W16" i="26" s="1"/>
  <c r="C56" i="30"/>
  <c r="C59" i="30" s="1"/>
  <c r="AO17" i="26" s="1"/>
  <c r="AO13" i="26" s="1"/>
  <c r="AO12" i="26" s="1"/>
  <c r="AO11" i="26" s="1"/>
  <c r="H56" i="29"/>
  <c r="H59" i="29" s="1"/>
  <c r="U16" i="26" s="1"/>
  <c r="D56" i="29"/>
  <c r="D59" i="29" s="1"/>
  <c r="Q16" i="26" s="1"/>
  <c r="Q13" i="26" s="1"/>
  <c r="AM12" i="26"/>
  <c r="I24" i="30"/>
  <c r="I20" i="30"/>
  <c r="I30" i="30"/>
  <c r="I28" i="30"/>
  <c r="I33" i="30"/>
  <c r="I21" i="30"/>
  <c r="AV13" i="26"/>
  <c r="AV12" i="26" s="1"/>
  <c r="I22" i="30"/>
  <c r="I27" i="30"/>
  <c r="I29" i="30"/>
  <c r="I25" i="30"/>
  <c r="I32" i="30"/>
  <c r="I33" i="29"/>
  <c r="I19" i="29"/>
  <c r="I37" i="29"/>
  <c r="I26" i="29"/>
  <c r="S59" i="30"/>
  <c r="BE17" i="26" s="1"/>
  <c r="W59" i="30"/>
  <c r="BI17" i="26" s="1"/>
  <c r="N59" i="30"/>
  <c r="AZ17" i="26" s="1"/>
  <c r="I36" i="29"/>
  <c r="I42" i="29"/>
  <c r="O59" i="30"/>
  <c r="BA17" i="26" s="1"/>
  <c r="L59" i="30"/>
  <c r="AX17" i="26" s="1"/>
  <c r="I18" i="29"/>
  <c r="R59" i="30"/>
  <c r="BD17" i="26" s="1"/>
  <c r="Y59" i="30"/>
  <c r="BK17" i="26" s="1"/>
  <c r="I30" i="29"/>
  <c r="I22" i="29"/>
  <c r="I32" i="29"/>
  <c r="I39" i="29"/>
  <c r="I27" i="29"/>
  <c r="I38" i="29"/>
  <c r="I24" i="29"/>
  <c r="I20" i="29"/>
  <c r="I43" i="27"/>
  <c r="I44" i="27" s="1"/>
  <c r="I45" i="27" s="1"/>
  <c r="E19" i="30"/>
  <c r="E20" i="27"/>
  <c r="I40" i="29"/>
  <c r="I29" i="29"/>
  <c r="B55" i="29"/>
  <c r="J43" i="29"/>
  <c r="K20" i="29"/>
  <c r="Q55" i="30"/>
  <c r="K36" i="30"/>
  <c r="I21" i="29"/>
  <c r="CJ15" i="26"/>
  <c r="X59" i="30"/>
  <c r="BJ17" i="26" s="1"/>
  <c r="K59" i="30"/>
  <c r="AW17" i="26" s="1"/>
  <c r="I34" i="29"/>
  <c r="Q55" i="29"/>
  <c r="K36" i="29"/>
  <c r="I31" i="29"/>
  <c r="E55" i="29"/>
  <c r="K32" i="29"/>
  <c r="AA57" i="30"/>
  <c r="I35" i="29"/>
  <c r="Z59" i="30"/>
  <c r="BL17" i="26" s="1"/>
  <c r="U59" i="30"/>
  <c r="BG17" i="26" s="1"/>
  <c r="E21" i="28"/>
  <c r="I23" i="29"/>
  <c r="I25" i="29"/>
  <c r="I41" i="29"/>
  <c r="E19" i="29"/>
  <c r="I28" i="29"/>
  <c r="B53" i="28"/>
  <c r="V59" i="30"/>
  <c r="BH17" i="26" s="1"/>
  <c r="P59" i="30"/>
  <c r="BB17" i="26" s="1"/>
  <c r="T59" i="30"/>
  <c r="BF17" i="26" s="1"/>
  <c r="K20" i="30"/>
  <c r="B55" i="30"/>
  <c r="J43" i="30"/>
  <c r="K32" i="30"/>
  <c r="E55" i="30"/>
  <c r="X25" i="26"/>
  <c r="U24" i="26"/>
  <c r="AA51" i="27"/>
  <c r="AA52" i="27" s="1"/>
  <c r="B52" i="27"/>
  <c r="M59" i="30"/>
  <c r="AY17" i="26" s="1"/>
  <c r="U13" i="26" l="1"/>
  <c r="AJ12" i="26"/>
  <c r="AI13" i="26"/>
  <c r="S13" i="26"/>
  <c r="W13" i="26"/>
  <c r="X13" i="26"/>
  <c r="X12" i="26" s="1"/>
  <c r="AB13" i="26"/>
  <c r="AA12" i="26"/>
  <c r="Z13" i="26"/>
  <c r="AF12" i="26"/>
  <c r="AF11" i="26" s="1"/>
  <c r="AE13" i="26"/>
  <c r="BL13" i="26"/>
  <c r="I14" i="32"/>
  <c r="Z12" i="26"/>
  <c r="Z11" i="26" s="1"/>
  <c r="Y13" i="26"/>
  <c r="Y12" i="26" s="1"/>
  <c r="Y11" i="26" s="1"/>
  <c r="U12" i="26"/>
  <c r="T13" i="26"/>
  <c r="T12" i="26" s="1"/>
  <c r="T11" i="26" s="1"/>
  <c r="Q12" i="26"/>
  <c r="Q11" i="26" s="1"/>
  <c r="P13" i="26"/>
  <c r="AL29" i="26"/>
  <c r="AM31" i="26"/>
  <c r="W12" i="26"/>
  <c r="W11" i="26" s="1"/>
  <c r="V13" i="26"/>
  <c r="V12" i="26" s="1"/>
  <c r="V11" i="26" s="1"/>
  <c r="AC12" i="26"/>
  <c r="AC11" i="26" s="1"/>
  <c r="AK12" i="26"/>
  <c r="AK11" i="26" s="1"/>
  <c r="AB12" i="26"/>
  <c r="AB11" i="26" s="1"/>
  <c r="AQ30" i="26"/>
  <c r="AH12" i="26"/>
  <c r="AH11" i="26" s="1"/>
  <c r="AG12" i="26"/>
  <c r="E56" i="30"/>
  <c r="E59" i="30" s="1"/>
  <c r="AQ17" i="26" s="1"/>
  <c r="AQ13" i="26" s="1"/>
  <c r="AQ12" i="26" s="1"/>
  <c r="AQ11" i="26" s="1"/>
  <c r="E56" i="29"/>
  <c r="E59" i="29" s="1"/>
  <c r="R16" i="26" s="1"/>
  <c r="R13" i="26" s="1"/>
  <c r="R12" i="26" s="1"/>
  <c r="R11" i="26" s="1"/>
  <c r="Q56" i="30"/>
  <c r="Q59" i="30" s="1"/>
  <c r="BC17" i="26" s="1"/>
  <c r="H14" i="32" s="1"/>
  <c r="I43" i="30"/>
  <c r="Q56" i="29"/>
  <c r="Q59" i="29" s="1"/>
  <c r="AD16" i="26" s="1"/>
  <c r="AD13" i="26" s="1"/>
  <c r="AD12" i="26" s="1"/>
  <c r="AI12" i="26"/>
  <c r="AI11" i="26" s="1"/>
  <c r="BJ13" i="26"/>
  <c r="BJ12" i="26" s="1"/>
  <c r="BJ11" i="26" s="1"/>
  <c r="BD13" i="26"/>
  <c r="BD12" i="26" s="1"/>
  <c r="BD11" i="26" s="1"/>
  <c r="BA13" i="26"/>
  <c r="BA12" i="26" s="1"/>
  <c r="BA11" i="26" s="1"/>
  <c r="BI13" i="26"/>
  <c r="BI12" i="26" s="1"/>
  <c r="BI11" i="26" s="1"/>
  <c r="BF13" i="26"/>
  <c r="BF12" i="26" s="1"/>
  <c r="BF11" i="26" s="1"/>
  <c r="BH13" i="26"/>
  <c r="BH12" i="26" s="1"/>
  <c r="AY13" i="26"/>
  <c r="AY12" i="26" s="1"/>
  <c r="BB13" i="26"/>
  <c r="BB12" i="26" s="1"/>
  <c r="BG13" i="26"/>
  <c r="BG12" i="26" s="1"/>
  <c r="BG11" i="26" s="1"/>
  <c r="AW13" i="26"/>
  <c r="AW12" i="26" s="1"/>
  <c r="AW11" i="26" s="1"/>
  <c r="BK13" i="26"/>
  <c r="BK12" i="26" s="1"/>
  <c r="AX13" i="26"/>
  <c r="AX12" i="26" s="1"/>
  <c r="AX11" i="26" s="1"/>
  <c r="AZ13" i="26"/>
  <c r="AZ12" i="26" s="1"/>
  <c r="AZ11" i="26" s="1"/>
  <c r="BE13" i="26"/>
  <c r="BE12" i="26" s="1"/>
  <c r="BL12" i="26"/>
  <c r="BL11" i="26" s="1"/>
  <c r="I43" i="29"/>
  <c r="I44" i="29" s="1"/>
  <c r="I45" i="29" s="1"/>
  <c r="E22" i="28"/>
  <c r="AA55" i="29"/>
  <c r="B56" i="29"/>
  <c r="U23" i="26"/>
  <c r="U11" i="26" s="1"/>
  <c r="E20" i="30"/>
  <c r="AA25" i="26"/>
  <c r="E22" i="32" s="1"/>
  <c r="E21" i="32" s="1"/>
  <c r="E20" i="32" s="1"/>
  <c r="X24" i="26"/>
  <c r="X23" i="26" s="1"/>
  <c r="O14" i="26"/>
  <c r="B53" i="27"/>
  <c r="AA55" i="30"/>
  <c r="B56" i="30"/>
  <c r="E21" i="27"/>
  <c r="I44" i="30"/>
  <c r="I45" i="30" s="1"/>
  <c r="E20" i="29"/>
  <c r="X11" i="26" l="1"/>
  <c r="D11" i="32"/>
  <c r="F28" i="32"/>
  <c r="F26" i="32" s="1"/>
  <c r="AN31" i="26"/>
  <c r="AM29" i="26"/>
  <c r="E13" i="32"/>
  <c r="F13" i="32"/>
  <c r="F10" i="32" s="1"/>
  <c r="F9" i="32" s="1"/>
  <c r="AE12" i="26"/>
  <c r="AE11" i="26" s="1"/>
  <c r="S12" i="26"/>
  <c r="S11" i="26" s="1"/>
  <c r="AR30" i="26"/>
  <c r="BC13" i="26"/>
  <c r="BC12" i="26" s="1"/>
  <c r="BC11" i="26" s="1"/>
  <c r="I10" i="32"/>
  <c r="I9" i="32" s="1"/>
  <c r="H10" i="32"/>
  <c r="H9" i="32" s="1"/>
  <c r="B59" i="30"/>
  <c r="AA56" i="30"/>
  <c r="CJ14" i="26"/>
  <c r="AA24" i="26"/>
  <c r="AD25" i="26"/>
  <c r="AA56" i="29"/>
  <c r="B59" i="29"/>
  <c r="E21" i="29"/>
  <c r="E21" i="30"/>
  <c r="E22" i="27"/>
  <c r="E23" i="28"/>
  <c r="AN29" i="26" l="1"/>
  <c r="AO31" i="26"/>
  <c r="K12" i="34"/>
  <c r="AS30" i="26"/>
  <c r="E22" i="30"/>
  <c r="AA23" i="26"/>
  <c r="AA11" i="26" s="1"/>
  <c r="E23" i="27"/>
  <c r="E22" i="29"/>
  <c r="E24" i="28"/>
  <c r="O16" i="26"/>
  <c r="AA59" i="29"/>
  <c r="AG25" i="26"/>
  <c r="AD24" i="26"/>
  <c r="AD23" i="26" s="1"/>
  <c r="AD11" i="26" s="1"/>
  <c r="AA59" i="30"/>
  <c r="AN17" i="26"/>
  <c r="D13" i="32" l="1"/>
  <c r="O13" i="26"/>
  <c r="O12" i="26" s="1"/>
  <c r="O11" i="26" s="1"/>
  <c r="G14" i="32"/>
  <c r="AN13" i="26"/>
  <c r="AP31" i="26"/>
  <c r="AO29" i="26"/>
  <c r="AT30" i="26"/>
  <c r="E10" i="32"/>
  <c r="E9" i="32" s="1"/>
  <c r="E30" i="32" s="1"/>
  <c r="G10" i="32"/>
  <c r="G9" i="32" s="1"/>
  <c r="AN12" i="26"/>
  <c r="AN11" i="26" s="1"/>
  <c r="CJ16" i="26"/>
  <c r="P12" i="26"/>
  <c r="P11" i="26" s="1"/>
  <c r="U33" i="26" s="1"/>
  <c r="CJ17" i="26"/>
  <c r="E24" i="27"/>
  <c r="E23" i="30"/>
  <c r="AJ25" i="26"/>
  <c r="AG24" i="26"/>
  <c r="AG23" i="26" s="1"/>
  <c r="AG11" i="26" s="1"/>
  <c r="AG33" i="26" s="1"/>
  <c r="E25" i="28"/>
  <c r="E23" i="29"/>
  <c r="AP29" i="26" l="1"/>
  <c r="AQ31" i="26"/>
  <c r="K14" i="34"/>
  <c r="D10" i="32"/>
  <c r="AU30" i="26"/>
  <c r="CJ13" i="26"/>
  <c r="CJ12" i="26" s="1"/>
  <c r="E32" i="32"/>
  <c r="E25" i="27"/>
  <c r="E26" i="28"/>
  <c r="E24" i="30"/>
  <c r="E24" i="29"/>
  <c r="AM25" i="26"/>
  <c r="F22" i="32" s="1"/>
  <c r="F21" i="32" s="1"/>
  <c r="AJ24" i="26"/>
  <c r="AJ23" i="26" s="1"/>
  <c r="AJ11" i="26" s="1"/>
  <c r="K11" i="34" l="1"/>
  <c r="D9" i="32"/>
  <c r="AR31" i="26"/>
  <c r="AQ29" i="26"/>
  <c r="AV30" i="26"/>
  <c r="F20" i="32"/>
  <c r="F30" i="32" s="1"/>
  <c r="E25" i="29"/>
  <c r="E25" i="30"/>
  <c r="E26" i="27"/>
  <c r="AP25" i="26"/>
  <c r="AM24" i="26"/>
  <c r="AM23" i="26" s="1"/>
  <c r="AM11" i="26" s="1"/>
  <c r="E27" i="28"/>
  <c r="AR29" i="26" l="1"/>
  <c r="AS31" i="26"/>
  <c r="K10" i="34"/>
  <c r="K31" i="34" s="1"/>
  <c r="D30" i="32"/>
  <c r="F32" i="32"/>
  <c r="AW30" i="26"/>
  <c r="E26" i="30"/>
  <c r="E27" i="27"/>
  <c r="E28" i="28"/>
  <c r="AS25" i="26"/>
  <c r="AP24" i="26"/>
  <c r="AP23" i="26" s="1"/>
  <c r="AP11" i="26" s="1"/>
  <c r="E26" i="29"/>
  <c r="D32" i="32" l="1"/>
  <c r="D31" i="32"/>
  <c r="E31" i="32" s="1"/>
  <c r="F31" i="32" s="1"/>
  <c r="AS29" i="26"/>
  <c r="AT31" i="26"/>
  <c r="AX30" i="26"/>
  <c r="E27" i="29"/>
  <c r="E29" i="28"/>
  <c r="AV25" i="26"/>
  <c r="AS24" i="26"/>
  <c r="AS23" i="26" s="1"/>
  <c r="AS11" i="26" s="1"/>
  <c r="AS33" i="26" s="1"/>
  <c r="E27" i="30"/>
  <c r="E28" i="27"/>
  <c r="AU31" i="26" l="1"/>
  <c r="AT29" i="26"/>
  <c r="AY30" i="26"/>
  <c r="AY25" i="26"/>
  <c r="G22" i="32" s="1"/>
  <c r="G21" i="32" s="1"/>
  <c r="AV24" i="26"/>
  <c r="AV23" i="26" s="1"/>
  <c r="AV11" i="26" s="1"/>
  <c r="E29" i="27"/>
  <c r="E28" i="30"/>
  <c r="E30" i="28"/>
  <c r="E28" i="29"/>
  <c r="AV31" i="26" l="1"/>
  <c r="AU29" i="26"/>
  <c r="AZ30" i="26"/>
  <c r="G27" i="32"/>
  <c r="E29" i="29"/>
  <c r="E29" i="30"/>
  <c r="AY24" i="26"/>
  <c r="AY23" i="26" s="1"/>
  <c r="AY11" i="26" s="1"/>
  <c r="BB25" i="26"/>
  <c r="E30" i="27"/>
  <c r="E31" i="28"/>
  <c r="AV29" i="26" l="1"/>
  <c r="AW31" i="26"/>
  <c r="BA30" i="26"/>
  <c r="E31" i="27"/>
  <c r="E30" i="30"/>
  <c r="BB24" i="26"/>
  <c r="BB23" i="26" s="1"/>
  <c r="BB11" i="26" s="1"/>
  <c r="BE25" i="26"/>
  <c r="E32" i="28"/>
  <c r="E30" i="29"/>
  <c r="AX31" i="26" l="1"/>
  <c r="AW29" i="26"/>
  <c r="BB30" i="26"/>
  <c r="E33" i="28"/>
  <c r="BE24" i="26"/>
  <c r="BE23" i="26" s="1"/>
  <c r="BE11" i="26" s="1"/>
  <c r="BE33" i="26" s="1"/>
  <c r="BH25" i="26"/>
  <c r="E31" i="30"/>
  <c r="E31" i="29"/>
  <c r="E32" i="27"/>
  <c r="AY31" i="26" l="1"/>
  <c r="AX29" i="26"/>
  <c r="BC30" i="26"/>
  <c r="BH24" i="26"/>
  <c r="BH23" i="26" s="1"/>
  <c r="BH11" i="26" s="1"/>
  <c r="BK25" i="26"/>
  <c r="H22" i="32" s="1"/>
  <c r="H21" i="32" s="1"/>
  <c r="E32" i="29"/>
  <c r="E33" i="27"/>
  <c r="E32" i="30"/>
  <c r="E34" i="28"/>
  <c r="AZ31" i="26" l="1"/>
  <c r="AY29" i="26"/>
  <c r="G28" i="32"/>
  <c r="G26" i="32" s="1"/>
  <c r="G20" i="32" s="1"/>
  <c r="G30" i="32" s="1"/>
  <c r="BD30" i="26"/>
  <c r="E33" i="30"/>
  <c r="E33" i="29"/>
  <c r="BN25" i="26"/>
  <c r="BK24" i="26"/>
  <c r="BK23" i="26" s="1"/>
  <c r="BK11" i="26" s="1"/>
  <c r="BK33" i="26" s="1"/>
  <c r="E35" i="28"/>
  <c r="E34" i="27"/>
  <c r="G31" i="32" l="1"/>
  <c r="G32" i="32"/>
  <c r="AZ29" i="26"/>
  <c r="BA31" i="26"/>
  <c r="BE30" i="26"/>
  <c r="E36" i="28"/>
  <c r="E34" i="29"/>
  <c r="E35" i="27"/>
  <c r="BQ25" i="26"/>
  <c r="BN24" i="26"/>
  <c r="BN23" i="26" s="1"/>
  <c r="BN11" i="26" s="1"/>
  <c r="E34" i="30"/>
  <c r="BA29" i="26" l="1"/>
  <c r="BB31" i="26"/>
  <c r="BF30" i="26"/>
  <c r="BQ24" i="26"/>
  <c r="BQ23" i="26" s="1"/>
  <c r="BQ11" i="26" s="1"/>
  <c r="BQ33" i="26" s="1"/>
  <c r="BT25" i="26"/>
  <c r="E35" i="29"/>
  <c r="E35" i="30"/>
  <c r="E36" i="30" s="1"/>
  <c r="F34" i="30" s="1"/>
  <c r="E36" i="27"/>
  <c r="E37" i="28"/>
  <c r="BC31" i="26" l="1"/>
  <c r="BB29" i="26"/>
  <c r="BG30" i="26"/>
  <c r="E37" i="27"/>
  <c r="E36" i="29"/>
  <c r="F35" i="29" s="1"/>
  <c r="BT24" i="26"/>
  <c r="BT23" i="26" s="1"/>
  <c r="BT11" i="26" s="1"/>
  <c r="BW25" i="26"/>
  <c r="I22" i="32" s="1"/>
  <c r="I21" i="32" s="1"/>
  <c r="E38" i="28"/>
  <c r="F35" i="30"/>
  <c r="E37" i="30"/>
  <c r="F36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BD31" i="26" l="1"/>
  <c r="BC29" i="26"/>
  <c r="BH30" i="26"/>
  <c r="E39" i="28"/>
  <c r="E37" i="29"/>
  <c r="F36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7" i="30"/>
  <c r="E38" i="30"/>
  <c r="BZ25" i="26"/>
  <c r="BW24" i="26"/>
  <c r="BW23" i="26" s="1"/>
  <c r="BW11" i="26" s="1"/>
  <c r="BW33" i="26" s="1"/>
  <c r="E38" i="27"/>
  <c r="BD29" i="26" l="1"/>
  <c r="BE31" i="26"/>
  <c r="BI30" i="26"/>
  <c r="E40" i="28"/>
  <c r="CC25" i="26"/>
  <c r="BZ24" i="26"/>
  <c r="BZ23" i="26" s="1"/>
  <c r="BZ11" i="26" s="1"/>
  <c r="F38" i="30"/>
  <c r="E39" i="30"/>
  <c r="F37" i="29"/>
  <c r="E38" i="29"/>
  <c r="E39" i="27"/>
  <c r="BF31" i="26" l="1"/>
  <c r="BE29" i="26"/>
  <c r="BJ30" i="26"/>
  <c r="E41" i="28"/>
  <c r="E42" i="28" s="1"/>
  <c r="F38" i="29"/>
  <c r="E39" i="29"/>
  <c r="E40" i="27"/>
  <c r="CF25" i="26"/>
  <c r="CC24" i="26"/>
  <c r="CC23" i="26" s="1"/>
  <c r="CC11" i="26" s="1"/>
  <c r="CC33" i="26" s="1"/>
  <c r="F39" i="30"/>
  <c r="E40" i="30"/>
  <c r="BF29" i="26" l="1"/>
  <c r="BG31" i="26"/>
  <c r="BK30" i="26"/>
  <c r="F39" i="29"/>
  <c r="E40" i="29"/>
  <c r="E41" i="27"/>
  <c r="F41" i="28"/>
  <c r="F42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CF24" i="26"/>
  <c r="CF23" i="26" s="1"/>
  <c r="CF11" i="26" s="1"/>
  <c r="CI25" i="26"/>
  <c r="J22" i="32" s="1"/>
  <c r="J21" i="32" s="1"/>
  <c r="F40" i="30"/>
  <c r="E41" i="30"/>
  <c r="F40" i="28"/>
  <c r="BH31" i="26" l="1"/>
  <c r="BG29" i="26"/>
  <c r="BL30" i="26"/>
  <c r="H27" i="32"/>
  <c r="J20" i="32"/>
  <c r="J30" i="32" s="1"/>
  <c r="F41" i="30"/>
  <c r="E42" i="30"/>
  <c r="F42" i="30" s="1"/>
  <c r="E42" i="27"/>
  <c r="CI24" i="26"/>
  <c r="CJ25" i="26"/>
  <c r="F40" i="29"/>
  <c r="E41" i="29"/>
  <c r="BH29" i="26" l="1"/>
  <c r="BI31" i="26"/>
  <c r="J32" i="32"/>
  <c r="BM30" i="26"/>
  <c r="BL29" i="26"/>
  <c r="F42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CI23" i="26"/>
  <c r="CI11" i="26" s="1"/>
  <c r="CI33" i="26" s="1"/>
  <c r="CJ24" i="26"/>
  <c r="E42" i="29"/>
  <c r="F42" i="29" s="1"/>
  <c r="F41" i="29"/>
  <c r="F41" i="27"/>
  <c r="BJ31" i="26" l="1"/>
  <c r="BI29" i="26"/>
  <c r="BN30" i="26"/>
  <c r="BM29" i="26"/>
  <c r="BJ29" i="26" l="1"/>
  <c r="BK31" i="26"/>
  <c r="H28" i="32" s="1"/>
  <c r="H26" i="32" s="1"/>
  <c r="H20" i="32" s="1"/>
  <c r="H30" i="32" s="1"/>
  <c r="BO30" i="26"/>
  <c r="BN29" i="26"/>
  <c r="H31" i="32" l="1"/>
  <c r="H32" i="32"/>
  <c r="CJ31" i="26"/>
  <c r="BK29" i="26"/>
  <c r="BP30" i="26"/>
  <c r="BO29" i="26"/>
  <c r="BP29" i="26" l="1"/>
  <c r="CJ30" i="26"/>
  <c r="CJ29" i="26" s="1"/>
  <c r="CJ23" i="26" s="1"/>
  <c r="CJ11" i="26" s="1"/>
  <c r="CK11" i="26" s="1"/>
  <c r="I27" i="32"/>
  <c r="I26" i="32" s="1"/>
  <c r="I20" i="32" s="1"/>
  <c r="I30" i="32" s="1"/>
  <c r="I32" i="32" l="1"/>
  <c r="I31" i="32"/>
  <c r="J31" i="32" s="1"/>
</calcChain>
</file>

<file path=xl/comments1.xml><?xml version="1.0" encoding="utf-8"?>
<comments xmlns="http://schemas.openxmlformats.org/spreadsheetml/2006/main">
  <authors>
    <author>mrivelli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2.xml><?xml version="1.0" encoding="utf-8"?>
<comments xmlns="http://schemas.openxmlformats.org/spreadsheetml/2006/main">
  <authors>
    <author>mrivelli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3.xml><?xml version="1.0" encoding="utf-8"?>
<comments xmlns="http://schemas.openxmlformats.org/spreadsheetml/2006/main">
  <authors>
    <author>mrivelli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4.xml><?xml version="1.0" encoding="utf-8"?>
<comments xmlns="http://schemas.openxmlformats.org/spreadsheetml/2006/main">
  <authors>
    <author>mrivelli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sharedStrings.xml><?xml version="1.0" encoding="utf-8"?>
<sst xmlns="http://schemas.openxmlformats.org/spreadsheetml/2006/main" count="1059" uniqueCount="429">
  <si>
    <t>PROGRAMA DE MEJORAMIENTO Y CONSERVACION DE CORREDORES VIALES</t>
  </si>
  <si>
    <t>DETALLE</t>
  </si>
  <si>
    <t>TOTAL BID</t>
  </si>
  <si>
    <t>(US$)</t>
  </si>
  <si>
    <t>%</t>
  </si>
  <si>
    <t>Otros Costos</t>
  </si>
  <si>
    <t>Administración del programa</t>
  </si>
  <si>
    <t>Auditoria, Monitoreo y Evaluación</t>
  </si>
  <si>
    <t>TOTAL</t>
  </si>
  <si>
    <t>PEP (Plan de Ejecución del Proyecto)</t>
  </si>
  <si>
    <t>(Expresado en USD.)</t>
  </si>
  <si>
    <t>Período comprendido:  Año 1 a Año 7</t>
  </si>
  <si>
    <t>COSTO</t>
  </si>
  <si>
    <t>RESPONSABLES</t>
  </si>
  <si>
    <t>Año 1</t>
  </si>
  <si>
    <t>Año 2</t>
  </si>
  <si>
    <t>Año 3</t>
  </si>
  <si>
    <t>Año 4</t>
  </si>
  <si>
    <t>Año 5</t>
  </si>
  <si>
    <t>Nombre de la Tarea</t>
  </si>
  <si>
    <t>Plazo de ejecución</t>
  </si>
  <si>
    <t>Proceso Contratación</t>
  </si>
  <si>
    <t>Inicio</t>
  </si>
  <si>
    <t>Fin</t>
  </si>
  <si>
    <t>BID</t>
  </si>
  <si>
    <t>T1</t>
  </si>
  <si>
    <t>T2</t>
  </si>
  <si>
    <t>T3</t>
  </si>
  <si>
    <t>T4</t>
  </si>
  <si>
    <t>A.</t>
  </si>
  <si>
    <t>Etapa de preparación, aprobación y cumplimiento de condiciones previas</t>
  </si>
  <si>
    <t>A.1</t>
  </si>
  <si>
    <t>Etapa de preparación del Proyecto</t>
  </si>
  <si>
    <t>A.1.1</t>
  </si>
  <si>
    <t xml:space="preserve">Aprobación del perfil </t>
  </si>
  <si>
    <t>A.1.2</t>
  </si>
  <si>
    <t>Preparación del POD</t>
  </si>
  <si>
    <t>A.1.3</t>
  </si>
  <si>
    <t xml:space="preserve">Misión de Análisis </t>
  </si>
  <si>
    <t>A.1.4</t>
  </si>
  <si>
    <t>Revisión interna del POD en el BID</t>
  </si>
  <si>
    <t>A.1.5</t>
  </si>
  <si>
    <t>Misión de Negociación</t>
  </si>
  <si>
    <t>A.1.6</t>
  </si>
  <si>
    <t>Aprobación del Directorio del BID</t>
  </si>
  <si>
    <t>Etapa de aprobación del Contrato de Préstamo</t>
  </si>
  <si>
    <t>A.2.1</t>
  </si>
  <si>
    <t xml:space="preserve">Firma de Contrato BID </t>
  </si>
  <si>
    <t>A.2.2</t>
  </si>
  <si>
    <t>Envío del Contrato de Préstamo al Congreso Nacional</t>
  </si>
  <si>
    <t>A.2.3</t>
  </si>
  <si>
    <t>Ratificación Legislativa</t>
  </si>
  <si>
    <t>A.2.4</t>
  </si>
  <si>
    <t>Preparación de cumplimiento de condiciones previas</t>
  </si>
  <si>
    <t>A.2.5</t>
  </si>
  <si>
    <t xml:space="preserve">Cumplimiento de condiciones previas al primer desembolso </t>
  </si>
  <si>
    <t>B.</t>
  </si>
  <si>
    <t>Etapa de ejecución del  Programa</t>
  </si>
  <si>
    <t>T2 - Año 1</t>
  </si>
  <si>
    <t>T1 . Año 2</t>
  </si>
  <si>
    <t>T3 - Año 3</t>
  </si>
  <si>
    <t>T4 - Año 1</t>
  </si>
  <si>
    <t>T1 - Año 1</t>
  </si>
  <si>
    <t>T4 - Año 5</t>
  </si>
  <si>
    <t>T1 - Año 2</t>
  </si>
  <si>
    <t>T4 - Año 3</t>
  </si>
  <si>
    <t>T1 - Año 4</t>
  </si>
  <si>
    <t>CUADRO DE COSTO DETALLADO</t>
  </si>
  <si>
    <t>Operación: Programa de Mejoramiento y conservación de corredores viales</t>
  </si>
  <si>
    <t>Nombre del Componente/Actividad</t>
  </si>
  <si>
    <t>Cateoría de Inversión</t>
  </si>
  <si>
    <t>Nivel</t>
  </si>
  <si>
    <t>Tipo de Contratación</t>
  </si>
  <si>
    <t>Método de Contratación</t>
  </si>
  <si>
    <t>Duración de Contrato</t>
  </si>
  <si>
    <t>Programa de Mejoramiento y conservación de Corredores Viales</t>
  </si>
  <si>
    <t>1.</t>
  </si>
  <si>
    <t>Producto</t>
  </si>
  <si>
    <t>1.1.1</t>
  </si>
  <si>
    <t>Actividad</t>
  </si>
  <si>
    <t>Obra</t>
  </si>
  <si>
    <t>LPI</t>
  </si>
  <si>
    <t>24 meses</t>
  </si>
  <si>
    <t>1.1.2</t>
  </si>
  <si>
    <t>1.1.3</t>
  </si>
  <si>
    <t>27 meses</t>
  </si>
  <si>
    <t>1.1.4</t>
  </si>
  <si>
    <t>1.2.1</t>
  </si>
  <si>
    <t>48 meses</t>
  </si>
  <si>
    <t>1.2.2</t>
  </si>
  <si>
    <t>72 meses</t>
  </si>
  <si>
    <t>1.2.3</t>
  </si>
  <si>
    <t>1.2.4</t>
  </si>
  <si>
    <t>Administración del Programa</t>
  </si>
  <si>
    <t>2.1.1</t>
  </si>
  <si>
    <t>Otros Costos - Administración</t>
  </si>
  <si>
    <t>Consultoría</t>
  </si>
  <si>
    <t>SD</t>
  </si>
  <si>
    <t>84 meses</t>
  </si>
  <si>
    <t>Auditoria, Monitoreo y Evaluación desarrollados</t>
  </si>
  <si>
    <t>2.2.1</t>
  </si>
  <si>
    <t>Contratación de Firma Consultora para la Auditoria Externa del Programa PR-L1105</t>
  </si>
  <si>
    <t>Otros Costos - Auditoria, Monitoreo y Evaluación</t>
  </si>
  <si>
    <t>SBCC</t>
  </si>
  <si>
    <t>2.2.2</t>
  </si>
  <si>
    <t>SCC</t>
  </si>
  <si>
    <t>6 meses</t>
  </si>
  <si>
    <t>2.2.3</t>
  </si>
  <si>
    <t>Contratación de Firma Consultora para la Evaluación Final del Programa</t>
  </si>
  <si>
    <t>1.1</t>
  </si>
  <si>
    <t>1.2</t>
  </si>
  <si>
    <t>Año 6</t>
  </si>
  <si>
    <t>Año 7</t>
  </si>
  <si>
    <t>T2- Año 3</t>
  </si>
  <si>
    <t>T1 - Año 6</t>
  </si>
  <si>
    <t>47 meses</t>
  </si>
  <si>
    <t>T2- Año 7</t>
  </si>
  <si>
    <t>T4 - Año 7</t>
  </si>
  <si>
    <t>74 meses</t>
  </si>
  <si>
    <t>PLAN FINANCIERO MENSUAL DEL PROGRAMA - FONDOS BID</t>
  </si>
  <si>
    <t>Trimestre 1</t>
  </si>
  <si>
    <t>Trimestre 2</t>
  </si>
  <si>
    <t>Trimestre 3</t>
  </si>
  <si>
    <t>Trimestre 4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</si>
  <si>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</si>
  <si>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</si>
  <si>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</si>
  <si>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</si>
  <si>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</si>
  <si>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</si>
  <si>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</si>
  <si>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</si>
  <si>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</si>
  <si>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</si>
  <si>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</si>
  <si>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</si>
  <si>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</si>
  <si>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</si>
  <si>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</si>
  <si>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</si>
  <si>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</si>
  <si>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</si>
  <si>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</si>
  <si>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</si>
  <si>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</si>
  <si>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</si>
  <si>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</si>
  <si>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</si>
  <si>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</si>
  <si>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</si>
  <si>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</si>
  <si>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</si>
  <si>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</si>
  <si>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</si>
  <si>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</si>
  <si>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</si>
  <si>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</si>
  <si>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</si>
  <si>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</si>
  <si>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</si>
  <si>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Mes 37</t>
  </si>
  <si>
    <t>Mes 38</t>
  </si>
  <si>
    <t>Mes 39</t>
  </si>
  <si>
    <t>Mes 40</t>
  </si>
  <si>
    <t>Mes 41</t>
  </si>
  <si>
    <t>Mes 42</t>
  </si>
  <si>
    <t>Mes 43</t>
  </si>
  <si>
    <t>Mes 44</t>
  </si>
  <si>
    <t>Mes 45</t>
  </si>
  <si>
    <t>Mes 46</t>
  </si>
  <si>
    <t>Mes 47</t>
  </si>
  <si>
    <t>Mes 48</t>
  </si>
  <si>
    <t>Mes 49</t>
  </si>
  <si>
    <t>Mes 50</t>
  </si>
  <si>
    <t>Mes 51</t>
  </si>
  <si>
    <t>Mes 52</t>
  </si>
  <si>
    <t>Mes 53</t>
  </si>
  <si>
    <t>Mes 54</t>
  </si>
  <si>
    <t>Mes 55</t>
  </si>
  <si>
    <t>Mes 56</t>
  </si>
  <si>
    <t>Mes 57</t>
  </si>
  <si>
    <t>Mes 58</t>
  </si>
  <si>
    <t>Mes 59</t>
  </si>
  <si>
    <t>Mes 60</t>
  </si>
  <si>
    <t>Caledario Project</t>
  </si>
  <si>
    <t>Proyecciòn de desembolso</t>
  </si>
  <si>
    <t>Mes 61</t>
  </si>
  <si>
    <t>Mes 62</t>
  </si>
  <si>
    <t>Mes 63</t>
  </si>
  <si>
    <t>Mes 64</t>
  </si>
  <si>
    <t>Mes 65</t>
  </si>
  <si>
    <t>Mes 66</t>
  </si>
  <si>
    <t>Mes 67</t>
  </si>
  <si>
    <t>Mes 68</t>
  </si>
  <si>
    <t>Mes 69</t>
  </si>
  <si>
    <t>Mes 70</t>
  </si>
  <si>
    <t>Mes 71</t>
  </si>
  <si>
    <t>Mes 72</t>
  </si>
  <si>
    <t>Mes 73</t>
  </si>
  <si>
    <t>Mes 74</t>
  </si>
  <si>
    <t>Mes 75</t>
  </si>
  <si>
    <t>Mes 76</t>
  </si>
  <si>
    <t>Mes 77</t>
  </si>
  <si>
    <t>Mes 78</t>
  </si>
  <si>
    <t>Mes 79</t>
  </si>
  <si>
    <t>Mes 80</t>
  </si>
  <si>
    <t>Mes 81</t>
  </si>
  <si>
    <t>Mes 82</t>
  </si>
  <si>
    <t>Mes 83</t>
  </si>
  <si>
    <t>Mes 84</t>
  </si>
  <si>
    <t>CRONOGRAMA DE DESEMBOLSO ESTIMADO</t>
  </si>
  <si>
    <t xml:space="preserve">OBRA: </t>
  </si>
  <si>
    <t>LONGITUD:</t>
  </si>
  <si>
    <t>71 Ml</t>
  </si>
  <si>
    <t>CONTRATISTA:</t>
  </si>
  <si>
    <t>FECHA:</t>
  </si>
  <si>
    <t>USD</t>
  </si>
  <si>
    <t>Guaranies (Gs) o Dolares (USD)</t>
  </si>
  <si>
    <t>TASA CAMBIARIA:</t>
  </si>
  <si>
    <t>Gs</t>
  </si>
  <si>
    <t>%  FINANCIACIÓN EXTERNA:</t>
  </si>
  <si>
    <t>(ingresar un valor entre 0 y 100)</t>
  </si>
  <si>
    <t>%  FINANCIACIÓN LOCAL:</t>
  </si>
  <si>
    <t>ANTICIPO %:</t>
  </si>
  <si>
    <t>MES/AÑO:</t>
  </si>
  <si>
    <t>FECHA DEL PRIMER DESEMBOLSO</t>
  </si>
  <si>
    <t>Redondeo:</t>
  </si>
  <si>
    <t>MES</t>
  </si>
  <si>
    <t>PORCENTAJE</t>
  </si>
  <si>
    <t>% AVANCE (Físico)</t>
  </si>
  <si>
    <t xml:space="preserve">MONTO ACUMULADO CON ANTICIPO </t>
  </si>
  <si>
    <t>% AVANCE (Financiero)</t>
  </si>
  <si>
    <t>MES DE DESEMBOLSO</t>
  </si>
  <si>
    <t>IVA DEL MONTO MENSUAL</t>
  </si>
  <si>
    <t>Mes 0</t>
  </si>
  <si>
    <t>Suma:</t>
  </si>
  <si>
    <t>Obs.: Montos de los Desembolsos en Guaranies.</t>
  </si>
  <si>
    <t>Diferencia:</t>
  </si>
  <si>
    <t>Anticipo</t>
  </si>
  <si>
    <t>LOCAL</t>
  </si>
  <si>
    <t>EXTERNO</t>
  </si>
  <si>
    <t>Ñumi San Juan Nepomuceno</t>
  </si>
  <si>
    <t xml:space="preserve"> tramo Empalme R6 - Frutika - Empalme corredor de Exportación </t>
  </si>
  <si>
    <t>Grupo 1: Itakyry - Arroyos y Esteros - Altos y Gral Resquin. (80,9 Km)- Fiscaliszación</t>
  </si>
  <si>
    <t>45% Variable</t>
  </si>
  <si>
    <t>total + 45%/18</t>
  </si>
  <si>
    <t>PLAN FINANCIERO ANUAL DEL PROGRAMA</t>
  </si>
  <si>
    <t>TOTAL POR AÑO</t>
  </si>
  <si>
    <t>ACUMULATIVO</t>
  </si>
  <si>
    <t>Tramo Ñumi-SJN mejorado</t>
  </si>
  <si>
    <t>Otras obras: tramo Empalme Ruta 6 - Corredores de Exportación rehabilitados y mejorados</t>
  </si>
  <si>
    <t>Componente Unico Obras civiles</t>
  </si>
  <si>
    <t>Gestión Socio Ambiental</t>
  </si>
  <si>
    <t>A</t>
  </si>
  <si>
    <t>Cuadro de costo y financiamiento del Programa - POR COMPONENTE</t>
  </si>
  <si>
    <t>B</t>
  </si>
  <si>
    <t>Cuadro de costo y financiamiento del Programa - POR CATEGORÍA DE INVERSIÓN</t>
  </si>
  <si>
    <t>PR-L1105</t>
  </si>
  <si>
    <t>Obras de Mejoramiento</t>
  </si>
  <si>
    <t>Obras de Conservación</t>
  </si>
  <si>
    <t>Tramo Ñumi - Empalme Ruta 6 conservado</t>
  </si>
  <si>
    <t>Ruta 13 conservada</t>
  </si>
  <si>
    <t>Fiscalización de obras</t>
  </si>
  <si>
    <t>1.3.1</t>
  </si>
  <si>
    <t>1.3.2</t>
  </si>
  <si>
    <t>1.3.3</t>
  </si>
  <si>
    <t>Conservación de Tramo Ñumi - Empalme Ruta 6</t>
  </si>
  <si>
    <t>Conservación de Ruta 13</t>
  </si>
  <si>
    <t>Mejoramiento de Tramo Ñumi-SJN</t>
  </si>
  <si>
    <t>Otras obras: Rehabilitación y mejoramiento tramo Empalme Ruta 6 - Corredores de Exportación</t>
  </si>
  <si>
    <t>Fiscalización Obra de conservación Ruta 13</t>
  </si>
  <si>
    <t>Fiscalización Obra de mejoramiento Ñumi-SJN y conservación Ñumi - Empalme Ruta 6</t>
  </si>
  <si>
    <t>Fiscalización de otras obras: Empalme Ruta 6 - Corredor de Exportación</t>
  </si>
  <si>
    <t>Gestión Socioambiental</t>
  </si>
  <si>
    <t>Contratación de Firma Constructora para el mejoramiento y rehabilitación  del tramo Empalme R6 - Empalme corredor de Exportación (52 Km)</t>
  </si>
  <si>
    <t>1.2 - Obras de Conservación</t>
  </si>
  <si>
    <t>1.3 - Fiscalización de Obras</t>
  </si>
  <si>
    <t>1.1 - Obras de Mejoramiento</t>
  </si>
  <si>
    <t>Costo BID</t>
  </si>
  <si>
    <t>Otros Costos - Gestión Socio Ambiental</t>
  </si>
  <si>
    <t>Transferencia</t>
  </si>
  <si>
    <t>Pagos por Servicios Ambientales</t>
  </si>
  <si>
    <t>Monitoreo y Evaluación Socio Ambiental</t>
  </si>
  <si>
    <t>Plan de Gestión Socio Ambiental</t>
  </si>
  <si>
    <t>N/A</t>
  </si>
  <si>
    <t>Responsable / Observación</t>
  </si>
  <si>
    <t>Incluido en el Proceso 1.1.3</t>
  </si>
  <si>
    <t>Incluido en el proceso 1.1.1</t>
  </si>
  <si>
    <t>Selección competitiva en el marco del PR-L1080</t>
  </si>
  <si>
    <t>50 meses</t>
  </si>
  <si>
    <t>PLAN DE ADQUISICIONES GLOBAL</t>
  </si>
  <si>
    <t>INFORMACIÓN PARA CARGA INICIAL DEL PLAN DE ADQUISICIONES (EN CURSO Y/O ULTIMO PRESENTADO)</t>
  </si>
  <si>
    <t>OBRAS</t>
  </si>
  <si>
    <t>Unidad Ejecutora:</t>
  </si>
  <si>
    <t>Actividad:</t>
  </si>
  <si>
    <t>Descripción adicional:</t>
  </si>
  <si>
    <t>Método de Selección/Adquisición
(Seleccionar una de las opciones):</t>
  </si>
  <si>
    <t>Cantidad de Lotes :</t>
  </si>
  <si>
    <t>Número de Proceso:</t>
  </si>
  <si>
    <t xml:space="preserve">Monto Estimado </t>
  </si>
  <si>
    <t>Componente Asociado :</t>
  </si>
  <si>
    <t>Método de Revisión (Seleccionar una de las opciones):</t>
  </si>
  <si>
    <t>Fechas</t>
  </si>
  <si>
    <t>Comentarios</t>
  </si>
  <si>
    <t>Ex-Post</t>
  </si>
  <si>
    <t>Monto Estimado, en u$s :</t>
  </si>
  <si>
    <t>Monto Estimado % BID:</t>
  </si>
  <si>
    <t>Monto Estimado % Contraparte:</t>
  </si>
  <si>
    <t>Aviso Especial de Adquisiciones</t>
  </si>
  <si>
    <t>Firma del Contrato</t>
  </si>
  <si>
    <t>Ex-Ante</t>
  </si>
  <si>
    <t>Licitación Pública Internacional </t>
  </si>
  <si>
    <t>Comp. 1</t>
  </si>
  <si>
    <t>Previsto</t>
  </si>
  <si>
    <t>TOTAL OBRAS</t>
  </si>
  <si>
    <t>Declaración de Licitación Desierta</t>
  </si>
  <si>
    <t>Rechazo de Ofertas</t>
  </si>
  <si>
    <t>BIENES</t>
  </si>
  <si>
    <t>Contrato En Ejecución</t>
  </si>
  <si>
    <t>Método de Adquisición
(Seleccionar una de las opciones):</t>
  </si>
  <si>
    <t>Contrato Terminado</t>
  </si>
  <si>
    <t>TOTAL BIENES</t>
  </si>
  <si>
    <t>SERVICIOS DE NO CONSULTORÍA</t>
  </si>
  <si>
    <t>Licitación Pública Internacional con Precalificación</t>
  </si>
  <si>
    <t>Licitación Pública Internacional en 2 etapas </t>
  </si>
  <si>
    <t>Documento de Licitación</t>
  </si>
  <si>
    <t>Licitación Pública Internacional por Lotes </t>
  </si>
  <si>
    <t>TOTAL DE SERVICIOS DE NO CONSULTORIA</t>
  </si>
  <si>
    <t>CONSULTORÍAS FIRMAS</t>
  </si>
  <si>
    <t>Selección Basada en la Calidad </t>
  </si>
  <si>
    <t>Descripción adicional (producto relacionado)</t>
  </si>
  <si>
    <t>Selección Basada en la Calidad y Costo </t>
  </si>
  <si>
    <t>Aviso de Expresiones de Interés</t>
  </si>
  <si>
    <t>Selección basada en las calificaciones de los consultores</t>
  </si>
  <si>
    <t>Ex ante</t>
  </si>
  <si>
    <t>TOTAL CONSULTORIAS FIRMAS</t>
  </si>
  <si>
    <t>CONSULTORÍAS INDIVIDUOS</t>
  </si>
  <si>
    <t>Suma Alzada</t>
  </si>
  <si>
    <t>Bienes </t>
  </si>
  <si>
    <t>Cantidad Estimada de Consultores :</t>
  </si>
  <si>
    <t>Llave en mano</t>
  </si>
  <si>
    <t>Obras </t>
  </si>
  <si>
    <t>No Objeción a los TDRs de la Actividad</t>
  </si>
  <si>
    <t>Firma Contrato</t>
  </si>
  <si>
    <t>Precios Unitarios</t>
  </si>
  <si>
    <t>TOTAL CONSULTORIAS INDIVIDUALES</t>
  </si>
  <si>
    <t>Suma global</t>
  </si>
  <si>
    <t>Servicios de No Consultoría </t>
  </si>
  <si>
    <t>Suma global + Gastos Reembolsables</t>
  </si>
  <si>
    <t>Consultoría - Firmas </t>
  </si>
  <si>
    <t>Tiempo Trabajado</t>
  </si>
  <si>
    <t>Consultoría - Individuos </t>
  </si>
  <si>
    <t>TOTAL CAPACITACIÓN</t>
  </si>
  <si>
    <t>Comparación de Precios para Bienes</t>
  </si>
  <si>
    <t>Especificaciones Técnicas</t>
  </si>
  <si>
    <t>SUBPROYECTOS</t>
  </si>
  <si>
    <t>Suministro e instalación de plantas y equipos</t>
  </si>
  <si>
    <t>Objeto de la Transferencia:</t>
  </si>
  <si>
    <t>Cantidad Estimada de Subproyectos:</t>
  </si>
  <si>
    <t>Suministro e instalación de sist. de información</t>
  </si>
  <si>
    <t>Firma del Contrato / Convenio por Adjudicación de los Subproyectos</t>
  </si>
  <si>
    <t>Fecha de 
Transferencia</t>
  </si>
  <si>
    <t>TOTAL SUBPROYECTOS</t>
  </si>
  <si>
    <t>ECATEF/DV</t>
  </si>
  <si>
    <t>1.1.1 y 1.2.1</t>
  </si>
  <si>
    <t>1.1.3 y 1.2.3</t>
  </si>
  <si>
    <t>Contratación de Firma Consultora para Fiscalización de obra de mejoramiento y rehabilitación del tramo Empalme R6 - Empalme Corredor de Exportación (52 Km)</t>
  </si>
  <si>
    <t xml:space="preserve">Contratación de la ECATEF para apoyo en la ejecución del Programa </t>
  </si>
  <si>
    <t>1era Contratación competitiva realizada en el marco de la Operación PR-L1080</t>
  </si>
  <si>
    <t>T1 - Año 3</t>
  </si>
  <si>
    <t>T3 - Año 6</t>
  </si>
  <si>
    <t>T4- Año 1</t>
  </si>
  <si>
    <t>T2- Año 2</t>
  </si>
  <si>
    <t>T2- Año 6</t>
  </si>
  <si>
    <t>TOTAL OTROS (PAGOS POR SERVICIOS AMBIENTALES)</t>
  </si>
  <si>
    <t>TOTAL OTROS</t>
  </si>
  <si>
    <t>OTROS (Pagos por Servicios Ambientales)</t>
  </si>
  <si>
    <t>T1-Año 2</t>
  </si>
  <si>
    <t>T4-Año 2</t>
  </si>
  <si>
    <t xml:space="preserve">POA (Plan Operativo Anual) Cronograma de Actividades.  </t>
  </si>
  <si>
    <t>Código</t>
  </si>
  <si>
    <t>Nombre de la tarea</t>
  </si>
  <si>
    <t>PEP</t>
  </si>
  <si>
    <t>Programación Año 1</t>
  </si>
  <si>
    <t>Ejecución</t>
  </si>
  <si>
    <t>Responsable</t>
  </si>
  <si>
    <t>Costo Planeado</t>
  </si>
  <si>
    <t>Meta del Programa</t>
  </si>
  <si>
    <t xml:space="preserve">Inicio </t>
  </si>
  <si>
    <t>Meta Año 1</t>
  </si>
  <si>
    <t>Medio de Verificación</t>
  </si>
  <si>
    <t>Total</t>
  </si>
  <si>
    <t>Costo Ejecutado</t>
  </si>
  <si>
    <t>% Avance</t>
  </si>
  <si>
    <t>Publicación de llamado</t>
  </si>
  <si>
    <t>Contrato Firmado</t>
  </si>
  <si>
    <t xml:space="preserve">Período comprendido:  Año 1 </t>
  </si>
  <si>
    <t>Inicio de Proceso de Contratación- Inicio de Ejecución</t>
  </si>
  <si>
    <t>Publicación de llamado - firma del Contrato</t>
  </si>
  <si>
    <t>Inicio del proceso de Contratación</t>
  </si>
  <si>
    <t>Inicio de servicios de ECATEF para el Programa PR-L1105</t>
  </si>
  <si>
    <t>Contratación de Firma Constructora para el mejoramiento del tramo Ñumi-San Juan Nepomuceno (65,5 Km)</t>
  </si>
  <si>
    <t>Contratación de Firma Consultora para Fiscalización del Mejoramiento del tramo Ñumi-San Juan Nepomuceno (65.5 Km)</t>
  </si>
  <si>
    <t>Contratación de Firma Constructora para Obra de Conservación del Tramo Ñumi - Empalme R6  (147 km). Crema 1.1.1</t>
  </si>
  <si>
    <t>Contratación de Firma Constructora para Obra de Conservación Ruta 13: Caaguazu- Empalme Ruta 10 (120 km)</t>
  </si>
  <si>
    <t>Contratación de Firma Consultora para Fiscalización de Obra de Conservación del Tramo Ñumi- Empalme R6 (147 km)</t>
  </si>
  <si>
    <t>Contratación de Firma Consultora para Fiscalización de Obra de Conservación Ruta 13: Caaguazu - Empalme Ruta 10 (120 km)</t>
  </si>
  <si>
    <t>Producto 1: 117.5 km de carreteras mejoradas y rehabilitadas</t>
  </si>
  <si>
    <t>Producto 2: 267 km de carretera conservados</t>
  </si>
  <si>
    <t>Contratación de Firma Constructora para merojamiento del tramo Ñumi - SJN (65,5 km) y posterior conservación del tramo Ñumi - Empalme Ruta 6 (147 km)</t>
  </si>
  <si>
    <t>Contratación de Firma Consultora para fiscalización de obra de merojamiento del tramo Ñumi - SJN (65,5 km) y posterior conservación del tramo Ñumi - Empalme Ruta 6 (147 km)</t>
  </si>
  <si>
    <t>Componente           (1)</t>
  </si>
  <si>
    <t>Componente              (1)</t>
  </si>
  <si>
    <t>2 meses</t>
  </si>
  <si>
    <t>1 Semana</t>
  </si>
  <si>
    <t>Febrero 2017</t>
  </si>
  <si>
    <t>Mayo 2017</t>
  </si>
  <si>
    <t>Octubre 2017</t>
  </si>
  <si>
    <t>Agosto 2017</t>
  </si>
  <si>
    <t>Diciembre 2017</t>
  </si>
  <si>
    <t>Enero 2018</t>
  </si>
  <si>
    <t>Junio 2016</t>
  </si>
  <si>
    <t>Julio 2016</t>
  </si>
  <si>
    <t>Septiembre 2016</t>
  </si>
  <si>
    <t>Agosto 2016</t>
  </si>
  <si>
    <t>Octubre 2016</t>
  </si>
  <si>
    <t>Noviembre 2016</t>
  </si>
  <si>
    <t>2 Semanas</t>
  </si>
  <si>
    <t>5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</si>
</sst>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_ [$€]\ * #,##0.00_ ;_ [$€]\ * \-#,##0.00_ ;_ [$€]\ * &quot;-&quot;??_ ;_ @_ "/>
    <numFmt numFmtId="165" formatCode="#,#00"/>
    <numFmt numFmtId="166" formatCode="\$#,#00"/>
    <numFmt numFmtId="167" formatCode="\$#,"/>
    <numFmt numFmtId="168" formatCode="#.##000"/>
    <numFmt numFmtId="169" formatCode="#.##0,"/>
    <numFmt numFmtId="170" formatCode="_(* #,##0_);_(* \(#,##0\);_(* &quot;-&quot;??_);_(@_)"/>
    <numFmt numFmtId="171" formatCode="0.0%"/>
    <numFmt numFmtId="172" formatCode="[$USD]\ #,##0.00"/>
    <numFmt numFmtId="173" formatCode="_-* #,##0_-;\-* #,##0_-;_-* &quot;-&quot;_-;_-@_-"/>
    <numFmt numFmtId="174" formatCode="#,##0.0"/>
    <numFmt numFmtId="175" formatCode="_-* #,##0.00_-;\-* #,##0.00_-;_-* &quot;-&quot;??_-;_-@_-"/>
    <numFmt numFmtId="176" formatCode="_-&quot;$&quot;\ * #,##0.00_-;\-&quot;$&quot;\ * #,##0.00_-;_-&quot;$&quot;\ * &quot;-&quot;??_-;_-@_-"/>
    <numFmt numFmtId="177" formatCode="_(&quot;Gs&quot;\ * #,##0.00_);_(&quot;Gs&quot;\ * \(#,##0.00\);_(&quot;Gs&quot;\ * &quot;-&quot;??_);_(@_)"/>
    <numFmt numFmtId="178" formatCode="_(* #,##0.0_);_(* \(#,##0.0\);_(* &quot;-&quot;_);_(@_)"/>
    <numFmt numFmtId="179" formatCode="[$-C0A]mmm\-yy;@"/>
    <numFmt numFmtId="180" formatCode="[$-3C0A]mmmm&quot; de &quot;yyyy;@"/>
    <numFmt numFmtId="181" formatCode="dd/mm/yy;@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sz val="10"/>
      <name val="Verdana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0"/>
      <name val="Times New Roman"/>
      <family val="1"/>
    </font>
    <font>
      <b/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7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3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theme="3" tint="0.39994506668294322"/>
      </bottom>
      <diagonal/>
    </border>
    <border>
      <left/>
      <right style="medium">
        <color theme="0"/>
      </right>
      <top style="medium">
        <color theme="0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 style="thin">
        <color theme="3" tint="0.399914548173467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1454817346722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39985351115451523"/>
      </bottom>
      <diagonal/>
    </border>
  </borders>
  <cellStyleXfs count="139">
    <xf numFmtId="0" fontId="0" fillId="0" borderId="0"/>
    <xf numFmtId="0" fontId="11" fillId="0" borderId="0">
      <protection locked="0"/>
    </xf>
    <xf numFmtId="0" fontId="11" fillId="0" borderId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>
      <protection locked="0"/>
    </xf>
    <xf numFmtId="0" fontId="11" fillId="0" borderId="0">
      <protection locked="0"/>
    </xf>
    <xf numFmtId="0" fontId="13" fillId="0" borderId="0">
      <protection locked="0"/>
    </xf>
    <xf numFmtId="0" fontId="11" fillId="0" borderId="0">
      <protection locked="0"/>
    </xf>
    <xf numFmtId="0" fontId="12" fillId="0" borderId="0">
      <protection locked="0"/>
    </xf>
    <xf numFmtId="0" fontId="11" fillId="0" borderId="0">
      <protection locked="0"/>
    </xf>
    <xf numFmtId="0" fontId="12" fillId="0" borderId="0">
      <protection locked="0"/>
    </xf>
    <xf numFmtId="0" fontId="11" fillId="0" borderId="0">
      <protection locked="0"/>
    </xf>
    <xf numFmtId="165" fontId="11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1" fillId="0" borderId="0">
      <protection locked="0"/>
    </xf>
    <xf numFmtId="167" fontId="11" fillId="0" borderId="0">
      <protection locked="0"/>
    </xf>
    <xf numFmtId="0" fontId="9" fillId="0" borderId="0"/>
    <xf numFmtId="9" fontId="9" fillId="0" borderId="0" applyFont="0" applyFill="0" applyBorder="0" applyAlignment="0" applyProtection="0"/>
    <xf numFmtId="168" fontId="11" fillId="0" borderId="0">
      <protection locked="0"/>
    </xf>
    <xf numFmtId="169" fontId="11" fillId="0" borderId="0">
      <protection locked="0"/>
    </xf>
    <xf numFmtId="43" fontId="9" fillId="0" borderId="0" applyFont="0" applyFill="0" applyBorder="0" applyAlignment="0" applyProtection="0"/>
    <xf numFmtId="0" fontId="6" fillId="0" borderId="0"/>
    <xf numFmtId="0" fontId="14" fillId="0" borderId="0"/>
    <xf numFmtId="172" fontId="14" fillId="0" borderId="0"/>
    <xf numFmtId="172" fontId="9" fillId="0" borderId="0"/>
    <xf numFmtId="172" fontId="5" fillId="0" borderId="0"/>
    <xf numFmtId="0" fontId="9" fillId="0" borderId="0"/>
    <xf numFmtId="172" fontId="29" fillId="13" borderId="0" applyNumberFormat="0" applyBorder="0" applyAlignment="0" applyProtection="0"/>
    <xf numFmtId="172" fontId="29" fillId="14" borderId="0" applyNumberFormat="0" applyBorder="0" applyAlignment="0" applyProtection="0"/>
    <xf numFmtId="172" fontId="29" fillId="15" borderId="0" applyNumberFormat="0" applyBorder="0" applyAlignment="0" applyProtection="0"/>
    <xf numFmtId="172" fontId="29" fillId="16" borderId="0" applyNumberFormat="0" applyBorder="0" applyAlignment="0" applyProtection="0"/>
    <xf numFmtId="172" fontId="29" fillId="17" borderId="0" applyNumberFormat="0" applyBorder="0" applyAlignment="0" applyProtection="0"/>
    <xf numFmtId="172" fontId="29" fillId="18" borderId="0" applyNumberFormat="0" applyBorder="0" applyAlignment="0" applyProtection="0"/>
    <xf numFmtId="172" fontId="29" fillId="19" borderId="0" applyNumberFormat="0" applyBorder="0" applyAlignment="0" applyProtection="0"/>
    <xf numFmtId="172" fontId="29" fillId="20" borderId="0" applyNumberFormat="0" applyBorder="0" applyAlignment="0" applyProtection="0"/>
    <xf numFmtId="172" fontId="29" fillId="21" borderId="0" applyNumberFormat="0" applyBorder="0" applyAlignment="0" applyProtection="0"/>
    <xf numFmtId="172" fontId="29" fillId="16" borderId="0" applyNumberFormat="0" applyBorder="0" applyAlignment="0" applyProtection="0"/>
    <xf numFmtId="172" fontId="29" fillId="19" borderId="0" applyNumberFormat="0" applyBorder="0" applyAlignment="0" applyProtection="0"/>
    <xf numFmtId="172" fontId="29" fillId="22" borderId="0" applyNumberFormat="0" applyBorder="0" applyAlignment="0" applyProtection="0"/>
    <xf numFmtId="172" fontId="30" fillId="23" borderId="0" applyNumberFormat="0" applyBorder="0" applyAlignment="0" applyProtection="0"/>
    <xf numFmtId="172" fontId="30" fillId="20" borderId="0" applyNumberFormat="0" applyBorder="0" applyAlignment="0" applyProtection="0"/>
    <xf numFmtId="172" fontId="30" fillId="21" borderId="0" applyNumberFormat="0" applyBorder="0" applyAlignment="0" applyProtection="0"/>
    <xf numFmtId="172" fontId="30" fillId="24" borderId="0" applyNumberFormat="0" applyBorder="0" applyAlignment="0" applyProtection="0"/>
    <xf numFmtId="172" fontId="30" fillId="25" borderId="0" applyNumberFormat="0" applyBorder="0" applyAlignment="0" applyProtection="0"/>
    <xf numFmtId="172" fontId="30" fillId="26" borderId="0" applyNumberFormat="0" applyBorder="0" applyAlignment="0" applyProtection="0"/>
    <xf numFmtId="172" fontId="30" fillId="27" borderId="0" applyNumberFormat="0" applyBorder="0" applyAlignment="0" applyProtection="0"/>
    <xf numFmtId="172" fontId="30" fillId="28" borderId="0" applyNumberFormat="0" applyBorder="0" applyAlignment="0" applyProtection="0"/>
    <xf numFmtId="172" fontId="30" fillId="29" borderId="0" applyNumberFormat="0" applyBorder="0" applyAlignment="0" applyProtection="0"/>
    <xf numFmtId="172" fontId="30" fillId="24" borderId="0" applyNumberFormat="0" applyBorder="0" applyAlignment="0" applyProtection="0"/>
    <xf numFmtId="172" fontId="30" fillId="25" borderId="0" applyNumberFormat="0" applyBorder="0" applyAlignment="0" applyProtection="0"/>
    <xf numFmtId="172" fontId="30" fillId="30" borderId="0" applyNumberFormat="0" applyBorder="0" applyAlignment="0" applyProtection="0"/>
    <xf numFmtId="172" fontId="31" fillId="14" borderId="0" applyNumberFormat="0" applyBorder="0" applyAlignment="0" applyProtection="0"/>
    <xf numFmtId="172" fontId="32" fillId="31" borderId="41" applyNumberFormat="0" applyAlignment="0" applyProtection="0"/>
    <xf numFmtId="172" fontId="33" fillId="32" borderId="42" applyNumberFormat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4" fillId="0" borderId="0" applyNumberFormat="0" applyFill="0" applyBorder="0" applyAlignment="0" applyProtection="0"/>
    <xf numFmtId="172" fontId="35" fillId="15" borderId="0" applyNumberFormat="0" applyBorder="0" applyAlignment="0" applyProtection="0"/>
    <xf numFmtId="172" fontId="36" fillId="0" borderId="43" applyNumberFormat="0" applyFill="0" applyAlignment="0" applyProtection="0"/>
    <xf numFmtId="172" fontId="37" fillId="0" borderId="44" applyNumberFormat="0" applyFill="0" applyAlignment="0" applyProtection="0"/>
    <xf numFmtId="172" fontId="38" fillId="0" borderId="45" applyNumberFormat="0" applyFill="0" applyAlignment="0" applyProtection="0"/>
    <xf numFmtId="172" fontId="38" fillId="0" borderId="0" applyNumberFormat="0" applyFill="0" applyBorder="0" applyAlignment="0" applyProtection="0"/>
    <xf numFmtId="172" fontId="39" fillId="18" borderId="41" applyNumberFormat="0" applyAlignment="0" applyProtection="0"/>
    <xf numFmtId="172" fontId="40" fillId="0" borderId="46" applyNumberFormat="0" applyFill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9" fillId="0" borderId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ill="0" applyBorder="0" applyAlignment="0" applyProtection="0"/>
    <xf numFmtId="172" fontId="41" fillId="33" borderId="0" applyNumberFormat="0" applyBorder="0" applyAlignment="0" applyProtection="0"/>
    <xf numFmtId="172" fontId="5" fillId="0" borderId="0"/>
    <xf numFmtId="172" fontId="5" fillId="0" borderId="0"/>
    <xf numFmtId="172" fontId="5" fillId="0" borderId="0"/>
    <xf numFmtId="172" fontId="5" fillId="0" borderId="0"/>
    <xf numFmtId="172" fontId="9" fillId="0" borderId="0"/>
    <xf numFmtId="0" fontId="9" fillId="0" borderId="0"/>
    <xf numFmtId="0" fontId="5" fillId="0" borderId="0"/>
    <xf numFmtId="0" fontId="5" fillId="0" borderId="0"/>
    <xf numFmtId="172" fontId="9" fillId="0" borderId="0"/>
    <xf numFmtId="0" fontId="5" fillId="0" borderId="0"/>
    <xf numFmtId="172" fontId="9" fillId="0" borderId="0"/>
    <xf numFmtId="172" fontId="9" fillId="0" borderId="0"/>
    <xf numFmtId="0" fontId="9" fillId="0" borderId="0"/>
    <xf numFmtId="172" fontId="29" fillId="0" borderId="0"/>
    <xf numFmtId="172" fontId="9" fillId="0" borderId="0"/>
    <xf numFmtId="172" fontId="9" fillId="0" borderId="0"/>
    <xf numFmtId="0" fontId="9" fillId="0" borderId="0"/>
    <xf numFmtId="172" fontId="9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9" fillId="0" borderId="0"/>
    <xf numFmtId="172" fontId="14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9" fillId="34" borderId="47" applyNumberFormat="0" applyFont="0" applyAlignment="0" applyProtection="0"/>
    <xf numFmtId="172" fontId="42" fillId="31" borderId="48" applyNumberFormat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43" fillId="0" borderId="0" applyNumberFormat="0" applyFill="0" applyBorder="0" applyAlignment="0" applyProtection="0"/>
    <xf numFmtId="172" fontId="44" fillId="0" borderId="49" applyNumberFormat="0" applyFill="0" applyAlignment="0" applyProtection="0"/>
    <xf numFmtId="172" fontId="45" fillId="0" borderId="0" applyNumberFormat="0" applyFill="0" applyBorder="0" applyAlignment="0" applyProtection="0"/>
    <xf numFmtId="172" fontId="5" fillId="0" borderId="0"/>
    <xf numFmtId="172" fontId="4" fillId="0" borderId="0"/>
    <xf numFmtId="9" fontId="9" fillId="0" borderId="0" applyFont="0" applyFill="0" applyBorder="0" applyAlignment="0" applyProtection="0"/>
    <xf numFmtId="172" fontId="3" fillId="0" borderId="0"/>
    <xf numFmtId="172" fontId="2" fillId="0" borderId="0"/>
    <xf numFmtId="172" fontId="2" fillId="0" borderId="0"/>
    <xf numFmtId="43" fontId="51" fillId="0" borderId="0" applyFont="0" applyFill="0" applyBorder="0" applyAlignment="0" applyProtection="0"/>
    <xf numFmtId="172" fontId="1" fillId="0" borderId="0"/>
    <xf numFmtId="9" fontId="9" fillId="0" borderId="0" applyFont="0" applyFill="0" applyBorder="0" applyAlignment="0" applyProtection="0"/>
  </cellStyleXfs>
  <cellXfs count="550">
    <xf numFmtId="0" fontId="0" fillId="0" borderId="0" xfId="0"/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0" fontId="8" fillId="0" borderId="0" xfId="22" applyNumberFormat="1" applyFont="1" applyBorder="1" applyAlignment="1">
      <alignment vertical="center"/>
    </xf>
    <xf numFmtId="171" fontId="0" fillId="0" borderId="0" xfId="132" applyNumberFormat="1" applyFont="1"/>
    <xf numFmtId="0" fontId="19" fillId="4" borderId="26" xfId="0" applyFont="1" applyFill="1" applyBorder="1" applyAlignment="1">
      <alignment horizontal="right" vertical="center"/>
    </xf>
    <xf numFmtId="0" fontId="19" fillId="4" borderId="26" xfId="0" applyFont="1" applyFill="1" applyBorder="1" applyAlignment="1">
      <alignment vertical="center"/>
    </xf>
    <xf numFmtId="41" fontId="19" fillId="4" borderId="26" xfId="16" applyFont="1" applyFill="1" applyBorder="1" applyAlignment="1">
      <alignment vertical="center"/>
    </xf>
    <xf numFmtId="171" fontId="19" fillId="4" borderId="28" xfId="132" applyNumberFormat="1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right" vertical="center"/>
    </xf>
    <xf numFmtId="0" fontId="20" fillId="3" borderId="26" xfId="0" applyFont="1" applyFill="1" applyBorder="1" applyAlignment="1">
      <alignment vertical="center"/>
    </xf>
    <xf numFmtId="41" fontId="20" fillId="3" borderId="0" xfId="16" applyFont="1" applyFill="1" applyBorder="1" applyAlignment="1">
      <alignment vertical="center"/>
    </xf>
    <xf numFmtId="0" fontId="20" fillId="3" borderId="28" xfId="0" applyFont="1" applyFill="1" applyBorder="1" applyAlignment="1">
      <alignment vertical="center"/>
    </xf>
    <xf numFmtId="0" fontId="10" fillId="0" borderId="0" xfId="0" applyFont="1"/>
    <xf numFmtId="0" fontId="24" fillId="7" borderId="20" xfId="0" applyFont="1" applyFill="1" applyBorder="1" applyAlignment="1">
      <alignment horizontal="right" vertical="center"/>
    </xf>
    <xf numFmtId="0" fontId="19" fillId="7" borderId="20" xfId="0" applyFont="1" applyFill="1" applyBorder="1" applyAlignment="1">
      <alignment vertical="center"/>
    </xf>
    <xf numFmtId="41" fontId="19" fillId="7" borderId="1" xfId="0" applyNumberFormat="1" applyFont="1" applyFill="1" applyBorder="1" applyAlignment="1">
      <alignment horizontal="right" vertical="center"/>
    </xf>
    <xf numFmtId="171" fontId="19" fillId="7" borderId="19" xfId="132" applyNumberFormat="1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/>
    </xf>
    <xf numFmtId="171" fontId="25" fillId="7" borderId="4" xfId="132" applyNumberFormat="1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/>
    </xf>
    <xf numFmtId="171" fontId="25" fillId="7" borderId="28" xfId="132" applyNumberFormat="1" applyFont="1" applyFill="1" applyBorder="1" applyAlignment="1">
      <alignment horizontal="center" vertical="center" wrapText="1"/>
    </xf>
    <xf numFmtId="172" fontId="23" fillId="0" borderId="0" xfId="28" applyFont="1" applyAlignment="1">
      <alignment vertical="center"/>
    </xf>
    <xf numFmtId="172" fontId="23" fillId="0" borderId="0" xfId="28" applyFont="1" applyAlignment="1">
      <alignment horizontal="center" vertical="center"/>
    </xf>
    <xf numFmtId="170" fontId="17" fillId="0" borderId="0" xfId="25" applyNumberFormat="1" applyFont="1" applyAlignment="1">
      <alignment vertical="center"/>
    </xf>
    <xf numFmtId="172" fontId="17" fillId="0" borderId="0" xfId="28" applyFont="1" applyAlignment="1">
      <alignment vertical="center"/>
    </xf>
    <xf numFmtId="172" fontId="18" fillId="0" borderId="0" xfId="28" applyFont="1" applyAlignment="1">
      <alignment vertical="center"/>
    </xf>
    <xf numFmtId="172" fontId="27" fillId="0" borderId="0" xfId="28" applyFont="1" applyAlignment="1">
      <alignment vertical="center" wrapText="1"/>
    </xf>
    <xf numFmtId="3" fontId="27" fillId="0" borderId="0" xfId="25" applyNumberFormat="1" applyFont="1" applyAlignment="1">
      <alignment horizontal="center" vertical="center"/>
    </xf>
    <xf numFmtId="17" fontId="27" fillId="0" borderId="0" xfId="28" applyNumberFormat="1" applyFont="1" applyAlignment="1">
      <alignment horizontal="center" vertical="center"/>
    </xf>
    <xf numFmtId="170" fontId="18" fillId="0" borderId="0" xfId="25" applyNumberFormat="1" applyFont="1" applyAlignment="1">
      <alignment horizontal="center" vertical="center"/>
    </xf>
    <xf numFmtId="172" fontId="16" fillId="0" borderId="0" xfId="29" applyFont="1" applyAlignment="1">
      <alignment horizontal="right"/>
    </xf>
    <xf numFmtId="172" fontId="18" fillId="0" borderId="0" xfId="28" applyFont="1" applyAlignment="1">
      <alignment vertical="center" wrapText="1"/>
    </xf>
    <xf numFmtId="172" fontId="17" fillId="6" borderId="30" xfId="28" applyFont="1" applyFill="1" applyBorder="1" applyAlignment="1">
      <alignment horizontal="right" vertical="center"/>
    </xf>
    <xf numFmtId="3" fontId="21" fillId="6" borderId="30" xfId="28" applyNumberFormat="1" applyFont="1" applyFill="1" applyBorder="1" applyAlignment="1">
      <alignment horizontal="center" vertical="center" wrapText="1"/>
    </xf>
    <xf numFmtId="3" fontId="23" fillId="6" borderId="30" xfId="28" applyNumberFormat="1" applyFont="1" applyFill="1" applyBorder="1" applyAlignment="1">
      <alignment horizontal="center" vertical="center" wrapText="1"/>
    </xf>
    <xf numFmtId="17" fontId="23" fillId="6" borderId="30" xfId="28" applyNumberFormat="1" applyFont="1" applyFill="1" applyBorder="1" applyAlignment="1">
      <alignment horizontal="center" vertical="center" wrapText="1"/>
    </xf>
    <xf numFmtId="170" fontId="21" fillId="6" borderId="30" xfId="25" applyNumberFormat="1" applyFont="1" applyFill="1" applyBorder="1" applyAlignment="1">
      <alignment horizontal="center" vertical="center"/>
    </xf>
    <xf numFmtId="170" fontId="21" fillId="8" borderId="30" xfId="25" applyNumberFormat="1" applyFont="1" applyFill="1" applyBorder="1" applyAlignment="1">
      <alignment horizontal="center" vertical="center" wrapText="1"/>
    </xf>
    <xf numFmtId="3" fontId="21" fillId="6" borderId="31" xfId="28" applyNumberFormat="1" applyFont="1" applyFill="1" applyBorder="1" applyAlignment="1">
      <alignment horizontal="right" vertical="center" wrapText="1"/>
    </xf>
    <xf numFmtId="3" fontId="21" fillId="6" borderId="31" xfId="28" applyNumberFormat="1" applyFont="1" applyFill="1" applyBorder="1" applyAlignment="1">
      <alignment horizontal="left" vertical="center" wrapText="1"/>
    </xf>
    <xf numFmtId="3" fontId="23" fillId="6" borderId="31" xfId="28" applyNumberFormat="1" applyFont="1" applyFill="1" applyBorder="1" applyAlignment="1">
      <alignment horizontal="left" vertical="center" wrapText="1"/>
    </xf>
    <xf numFmtId="3" fontId="23" fillId="6" borderId="31" xfId="25" applyNumberFormat="1" applyFont="1" applyFill="1" applyBorder="1" applyAlignment="1">
      <alignment horizontal="center" vertical="center" wrapText="1"/>
    </xf>
    <xf numFmtId="17" fontId="27" fillId="6" borderId="31" xfId="28" applyNumberFormat="1" applyFont="1" applyFill="1" applyBorder="1" applyAlignment="1">
      <alignment horizontal="center" vertical="center" wrapText="1"/>
    </xf>
    <xf numFmtId="170" fontId="28" fillId="6" borderId="31" xfId="25" applyNumberFormat="1" applyFont="1" applyFill="1" applyBorder="1" applyAlignment="1">
      <alignment horizontal="center" vertical="center" wrapText="1"/>
    </xf>
    <xf numFmtId="3" fontId="17" fillId="0" borderId="31" xfId="28" applyNumberFormat="1" applyFont="1" applyFill="1" applyBorder="1" applyAlignment="1">
      <alignment horizontal="right" vertical="center"/>
    </xf>
    <xf numFmtId="3" fontId="17" fillId="0" borderId="32" xfId="28" applyNumberFormat="1" applyFont="1" applyFill="1" applyBorder="1" applyAlignment="1">
      <alignment horizontal="right" vertical="center"/>
    </xf>
    <xf numFmtId="172" fontId="21" fillId="8" borderId="33" xfId="28" applyFont="1" applyFill="1" applyBorder="1" applyAlignment="1">
      <alignment horizontal="right" vertical="center"/>
    </xf>
    <xf numFmtId="172" fontId="21" fillId="8" borderId="33" xfId="30" applyFont="1" applyFill="1" applyBorder="1" applyAlignment="1">
      <alignment horizontal="left" vertical="center" wrapText="1"/>
    </xf>
    <xf numFmtId="172" fontId="23" fillId="8" borderId="33" xfId="30" applyFont="1" applyFill="1" applyBorder="1" applyAlignment="1">
      <alignment horizontal="left" vertical="center" wrapText="1"/>
    </xf>
    <xf numFmtId="3" fontId="23" fillId="8" borderId="33" xfId="25" applyNumberFormat="1" applyFont="1" applyFill="1" applyBorder="1" applyAlignment="1">
      <alignment horizontal="center" vertical="center" wrapText="1"/>
    </xf>
    <xf numFmtId="17" fontId="27" fillId="8" borderId="33" xfId="28" applyNumberFormat="1" applyFont="1" applyFill="1" applyBorder="1" applyAlignment="1">
      <alignment horizontal="center" vertical="center" wrapText="1"/>
    </xf>
    <xf numFmtId="170" fontId="28" fillId="8" borderId="33" xfId="25" applyNumberFormat="1" applyFont="1" applyFill="1" applyBorder="1" applyAlignment="1">
      <alignment horizontal="center" vertical="center" wrapText="1"/>
    </xf>
    <xf numFmtId="3" fontId="17" fillId="0" borderId="33" xfId="28" applyNumberFormat="1" applyFont="1" applyFill="1" applyBorder="1" applyAlignment="1">
      <alignment horizontal="right" vertical="center"/>
    </xf>
    <xf numFmtId="172" fontId="18" fillId="0" borderId="33" xfId="28" applyFont="1" applyFill="1" applyBorder="1" applyAlignment="1">
      <alignment horizontal="right" vertical="center"/>
    </xf>
    <xf numFmtId="3" fontId="18" fillId="0" borderId="33" xfId="28" applyNumberFormat="1" applyFont="1" applyFill="1" applyBorder="1" applyAlignment="1">
      <alignment horizontal="left" vertical="center" wrapText="1"/>
    </xf>
    <xf numFmtId="3" fontId="27" fillId="0" borderId="33" xfId="25" applyNumberFormat="1" applyFont="1" applyFill="1" applyBorder="1" applyAlignment="1">
      <alignment horizontal="center" vertical="center" wrapText="1"/>
    </xf>
    <xf numFmtId="170" fontId="18" fillId="2" borderId="33" xfId="25" applyNumberFormat="1" applyFont="1" applyFill="1" applyBorder="1" applyAlignment="1">
      <alignment horizontal="center" vertical="center" wrapText="1"/>
    </xf>
    <xf numFmtId="3" fontId="17" fillId="0" borderId="34" xfId="28" applyNumberFormat="1" applyFont="1" applyFill="1" applyBorder="1" applyAlignment="1">
      <alignment horizontal="right" vertical="center"/>
    </xf>
    <xf numFmtId="3" fontId="17" fillId="0" borderId="35" xfId="28" applyNumberFormat="1" applyFont="1" applyFill="1" applyBorder="1" applyAlignment="1">
      <alignment horizontal="right" vertical="center"/>
    </xf>
    <xf numFmtId="3" fontId="17" fillId="0" borderId="36" xfId="28" applyNumberFormat="1" applyFont="1" applyFill="1" applyBorder="1" applyAlignment="1">
      <alignment horizontal="right" vertical="center"/>
    </xf>
    <xf numFmtId="3" fontId="17" fillId="0" borderId="37" xfId="28" applyNumberFormat="1" applyFont="1" applyFill="1" applyBorder="1" applyAlignment="1">
      <alignment horizontal="right" vertical="center"/>
    </xf>
    <xf numFmtId="3" fontId="17" fillId="0" borderId="38" xfId="28" applyNumberFormat="1" applyFont="1" applyFill="1" applyBorder="1" applyAlignment="1">
      <alignment horizontal="right" vertical="center"/>
    </xf>
    <xf numFmtId="172" fontId="21" fillId="6" borderId="33" xfId="28" applyFont="1" applyFill="1" applyBorder="1" applyAlignment="1">
      <alignment horizontal="right" vertical="center"/>
    </xf>
    <xf numFmtId="172" fontId="21" fillId="6" borderId="33" xfId="28" applyFont="1" applyFill="1" applyBorder="1" applyAlignment="1">
      <alignment horizontal="left" vertical="center" wrapText="1"/>
    </xf>
    <xf numFmtId="172" fontId="23" fillId="6" borderId="33" xfId="28" applyFont="1" applyFill="1" applyBorder="1" applyAlignment="1">
      <alignment horizontal="left" vertical="center" wrapText="1"/>
    </xf>
    <xf numFmtId="172" fontId="23" fillId="6" borderId="33" xfId="28" applyFont="1" applyFill="1" applyBorder="1" applyAlignment="1">
      <alignment horizontal="center" vertical="center" wrapText="1"/>
    </xf>
    <xf numFmtId="170" fontId="21" fillId="6" borderId="33" xfId="25" applyNumberFormat="1" applyFont="1" applyFill="1" applyBorder="1" applyAlignment="1">
      <alignment horizontal="left" vertical="center" wrapText="1"/>
    </xf>
    <xf numFmtId="3" fontId="17" fillId="6" borderId="37" xfId="28" applyNumberFormat="1" applyFont="1" applyFill="1" applyBorder="1" applyAlignment="1">
      <alignment horizontal="right" vertical="center"/>
    </xf>
    <xf numFmtId="3" fontId="17" fillId="6" borderId="38" xfId="28" applyNumberFormat="1" applyFont="1" applyFill="1" applyBorder="1" applyAlignment="1">
      <alignment horizontal="right" vertical="center"/>
    </xf>
    <xf numFmtId="172" fontId="18" fillId="0" borderId="0" xfId="28" applyFont="1" applyFill="1" applyAlignment="1">
      <alignment vertical="center"/>
    </xf>
    <xf numFmtId="3" fontId="21" fillId="6" borderId="39" xfId="28" applyNumberFormat="1" applyFont="1" applyFill="1" applyBorder="1" applyAlignment="1">
      <alignment horizontal="right" vertical="center" wrapText="1"/>
    </xf>
    <xf numFmtId="3" fontId="21" fillId="6" borderId="39" xfId="28" applyNumberFormat="1" applyFont="1" applyFill="1" applyBorder="1" applyAlignment="1">
      <alignment horizontal="left" vertical="center" wrapText="1"/>
    </xf>
    <xf numFmtId="3" fontId="23" fillId="6" borderId="33" xfId="28" applyNumberFormat="1" applyFont="1" applyFill="1" applyBorder="1" applyAlignment="1">
      <alignment horizontal="left" vertical="center" wrapText="1"/>
    </xf>
    <xf numFmtId="3" fontId="23" fillId="6" borderId="33" xfId="28" applyNumberFormat="1" applyFont="1" applyFill="1" applyBorder="1" applyAlignment="1">
      <alignment horizontal="center" vertical="center" wrapText="1"/>
    </xf>
    <xf numFmtId="170" fontId="21" fillId="6" borderId="39" xfId="25" applyNumberFormat="1" applyFont="1" applyFill="1" applyBorder="1" applyAlignment="1">
      <alignment horizontal="left" vertical="center" wrapText="1"/>
    </xf>
    <xf numFmtId="172" fontId="21" fillId="9" borderId="40" xfId="30" applyFont="1" applyFill="1" applyBorder="1" applyAlignment="1">
      <alignment horizontal="right" vertical="center" wrapText="1"/>
    </xf>
    <xf numFmtId="172" fontId="21" fillId="9" borderId="40" xfId="30" applyFont="1" applyFill="1" applyBorder="1" applyAlignment="1">
      <alignment vertical="center" wrapText="1"/>
    </xf>
    <xf numFmtId="14" fontId="21" fillId="9" borderId="40" xfId="30" applyNumberFormat="1" applyFont="1" applyFill="1" applyBorder="1" applyAlignment="1">
      <alignment horizontal="center" vertical="center"/>
    </xf>
    <xf numFmtId="14" fontId="23" fillId="9" borderId="40" xfId="30" applyNumberFormat="1" applyFont="1" applyFill="1" applyBorder="1" applyAlignment="1">
      <alignment horizontal="center" vertical="center"/>
    </xf>
    <xf numFmtId="170" fontId="21" fillId="9" borderId="40" xfId="25" applyNumberFormat="1" applyFont="1" applyFill="1" applyBorder="1" applyAlignment="1">
      <alignment horizontal="center" vertical="center"/>
    </xf>
    <xf numFmtId="3" fontId="17" fillId="5" borderId="40" xfId="28" applyNumberFormat="1" applyFont="1" applyFill="1" applyBorder="1" applyAlignment="1">
      <alignment vertical="center" wrapText="1"/>
    </xf>
    <xf numFmtId="172" fontId="16" fillId="5" borderId="40" xfId="30" applyFont="1" applyFill="1" applyBorder="1" applyAlignment="1">
      <alignment horizontal="center" vertical="center"/>
    </xf>
    <xf numFmtId="172" fontId="23" fillId="5" borderId="40" xfId="30" applyFont="1" applyFill="1" applyBorder="1" applyAlignment="1">
      <alignment horizontal="center" vertical="center"/>
    </xf>
    <xf numFmtId="170" fontId="16" fillId="5" borderId="40" xfId="25" applyNumberFormat="1" applyFont="1" applyFill="1" applyBorder="1" applyAlignment="1">
      <alignment horizontal="center" vertical="center"/>
    </xf>
    <xf numFmtId="0" fontId="22" fillId="2" borderId="40" xfId="31" applyFont="1" applyFill="1" applyBorder="1" applyAlignment="1">
      <alignment horizontal="right" vertical="center" wrapText="1"/>
    </xf>
    <xf numFmtId="0" fontId="22" fillId="2" borderId="40" xfId="31" applyFont="1" applyFill="1" applyBorder="1" applyAlignment="1">
      <alignment horizontal="justify" vertical="center" wrapText="1"/>
    </xf>
    <xf numFmtId="0" fontId="18" fillId="2" borderId="40" xfId="31" applyFont="1" applyFill="1" applyBorder="1" applyAlignment="1">
      <alignment horizontal="center" vertical="center" wrapText="1"/>
    </xf>
    <xf numFmtId="170" fontId="18" fillId="2" borderId="40" xfId="25" applyNumberFormat="1" applyFont="1" applyFill="1" applyBorder="1" applyAlignment="1">
      <alignment horizontal="center" vertical="center" wrapText="1"/>
    </xf>
    <xf numFmtId="170" fontId="18" fillId="10" borderId="40" xfId="25" applyNumberFormat="1" applyFont="1" applyFill="1" applyBorder="1" applyAlignment="1">
      <alignment horizontal="center" vertical="center" wrapText="1"/>
    </xf>
    <xf numFmtId="170" fontId="18" fillId="11" borderId="40" xfId="25" applyNumberFormat="1" applyFont="1" applyFill="1" applyBorder="1" applyAlignment="1">
      <alignment horizontal="center" vertical="center" wrapText="1"/>
    </xf>
    <xf numFmtId="170" fontId="18" fillId="12" borderId="40" xfId="25" applyNumberFormat="1" applyFont="1" applyFill="1" applyBorder="1" applyAlignment="1">
      <alignment horizontal="center" vertical="center" wrapText="1"/>
    </xf>
    <xf numFmtId="0" fontId="22" fillId="2" borderId="40" xfId="31" applyFont="1" applyFill="1" applyBorder="1" applyAlignment="1">
      <alignment vertical="center" wrapText="1"/>
    </xf>
    <xf numFmtId="173" fontId="18" fillId="2" borderId="40" xfId="31" applyNumberFormat="1" applyFont="1" applyFill="1" applyBorder="1" applyAlignment="1">
      <alignment horizontal="center" vertical="center" wrapText="1"/>
    </xf>
    <xf numFmtId="174" fontId="17" fillId="5" borderId="40" xfId="28" applyNumberFormat="1" applyFont="1" applyFill="1" applyBorder="1" applyAlignment="1">
      <alignment horizontal="right" vertical="center" wrapText="1"/>
    </xf>
    <xf numFmtId="172" fontId="17" fillId="5" borderId="40" xfId="30" applyFont="1" applyFill="1" applyBorder="1" applyAlignment="1">
      <alignment horizontal="center" vertical="center" wrapText="1"/>
    </xf>
    <xf numFmtId="172" fontId="23" fillId="5" borderId="40" xfId="30" applyFont="1" applyFill="1" applyBorder="1" applyAlignment="1">
      <alignment horizontal="center" vertical="center" wrapText="1"/>
    </xf>
    <xf numFmtId="170" fontId="17" fillId="5" borderId="40" xfId="25" applyNumberFormat="1" applyFont="1" applyFill="1" applyBorder="1" applyAlignment="1">
      <alignment horizontal="center" vertical="center" wrapText="1"/>
    </xf>
    <xf numFmtId="170" fontId="18" fillId="0" borderId="40" xfId="25" applyNumberFormat="1" applyFont="1" applyFill="1" applyBorder="1" applyAlignment="1">
      <alignment horizontal="center" vertical="center" wrapText="1"/>
    </xf>
    <xf numFmtId="0" fontId="21" fillId="9" borderId="40" xfId="30" applyNumberFormat="1" applyFont="1" applyFill="1" applyBorder="1" applyAlignment="1">
      <alignment horizontal="right" vertical="center" wrapText="1"/>
    </xf>
    <xf numFmtId="3" fontId="18" fillId="2" borderId="39" xfId="28" applyNumberFormat="1" applyFont="1" applyFill="1" applyBorder="1" applyAlignment="1">
      <alignment horizontal="right" vertical="center" wrapText="1"/>
    </xf>
    <xf numFmtId="3" fontId="18" fillId="2" borderId="39" xfId="28" applyNumberFormat="1" applyFont="1" applyFill="1" applyBorder="1" applyAlignment="1">
      <alignment vertical="center" wrapText="1"/>
    </xf>
    <xf numFmtId="172" fontId="18" fillId="2" borderId="39" xfId="30" applyFont="1" applyFill="1" applyBorder="1" applyAlignment="1">
      <alignment horizontal="center" vertical="center"/>
    </xf>
    <xf numFmtId="170" fontId="18" fillId="2" borderId="39" xfId="25" applyNumberFormat="1" applyFont="1" applyFill="1" applyBorder="1" applyAlignment="1">
      <alignment horizontal="center" vertical="center"/>
    </xf>
    <xf numFmtId="170" fontId="18" fillId="12" borderId="39" xfId="25" applyNumberFormat="1" applyFont="1" applyFill="1" applyBorder="1" applyAlignment="1">
      <alignment horizontal="center" vertical="center"/>
    </xf>
    <xf numFmtId="172" fontId="22" fillId="2" borderId="39" xfId="30" applyFont="1" applyFill="1" applyBorder="1" applyAlignment="1">
      <alignment horizontal="center" vertical="center"/>
    </xf>
    <xf numFmtId="170" fontId="22" fillId="2" borderId="39" xfId="25" applyNumberFormat="1" applyFont="1" applyFill="1" applyBorder="1" applyAlignment="1">
      <alignment horizontal="center" vertical="center"/>
    </xf>
    <xf numFmtId="170" fontId="22" fillId="10" borderId="39" xfId="25" applyNumberFormat="1" applyFont="1" applyFill="1" applyBorder="1" applyAlignment="1">
      <alignment horizontal="center" vertical="center"/>
    </xf>
    <xf numFmtId="170" fontId="22" fillId="12" borderId="39" xfId="25" applyNumberFormat="1" applyFont="1" applyFill="1" applyBorder="1" applyAlignment="1">
      <alignment horizontal="center" vertical="center"/>
    </xf>
    <xf numFmtId="172" fontId="18" fillId="0" borderId="0" xfId="28" applyFont="1" applyFill="1" applyAlignment="1">
      <alignment horizontal="right" vertical="center"/>
    </xf>
    <xf numFmtId="10" fontId="27" fillId="0" borderId="0" xfId="132" applyNumberFormat="1" applyFont="1" applyAlignment="1">
      <alignment vertical="center"/>
    </xf>
    <xf numFmtId="41" fontId="18" fillId="0" borderId="0" xfId="59" applyFont="1" applyAlignment="1">
      <alignment vertical="center"/>
    </xf>
    <xf numFmtId="172" fontId="18" fillId="0" borderId="0" xfId="28" applyFont="1" applyAlignment="1">
      <alignment horizontal="center" vertical="center"/>
    </xf>
    <xf numFmtId="172" fontId="17" fillId="0" borderId="0" xfId="28" applyFont="1" applyAlignment="1">
      <alignment horizontal="center" vertical="center"/>
    </xf>
    <xf numFmtId="172" fontId="18" fillId="0" borderId="0" xfId="28" applyFont="1" applyAlignment="1">
      <alignment horizontal="center" vertical="center" wrapText="1"/>
    </xf>
    <xf numFmtId="41" fontId="18" fillId="0" borderId="0" xfId="59" applyFont="1" applyAlignment="1">
      <alignment horizontal="left" vertical="center" wrapText="1"/>
    </xf>
    <xf numFmtId="41" fontId="17" fillId="2" borderId="40" xfId="59" applyFont="1" applyFill="1" applyBorder="1" applyAlignment="1">
      <alignment horizontal="center" vertical="center" wrapText="1"/>
    </xf>
    <xf numFmtId="3" fontId="18" fillId="2" borderId="39" xfId="28" applyNumberFormat="1" applyFont="1" applyFill="1" applyBorder="1" applyAlignment="1">
      <alignment horizontal="center" vertical="center" wrapText="1"/>
    </xf>
    <xf numFmtId="41" fontId="18" fillId="2" borderId="40" xfId="59" applyFont="1" applyFill="1" applyBorder="1" applyAlignment="1">
      <alignment horizontal="right" vertical="center" wrapText="1"/>
    </xf>
    <xf numFmtId="41" fontId="17" fillId="5" borderId="40" xfId="59" applyFont="1" applyFill="1" applyBorder="1" applyAlignment="1">
      <alignment horizontal="center" vertical="center"/>
    </xf>
    <xf numFmtId="178" fontId="17" fillId="5" borderId="40" xfId="59" applyNumberFormat="1" applyFont="1" applyFill="1" applyBorder="1" applyAlignment="1">
      <alignment horizontal="right" vertical="center" wrapText="1"/>
    </xf>
    <xf numFmtId="41" fontId="22" fillId="2" borderId="39" xfId="59" applyFont="1" applyFill="1" applyBorder="1" applyAlignment="1">
      <alignment horizontal="right" vertical="center"/>
    </xf>
    <xf numFmtId="41" fontId="18" fillId="2" borderId="39" xfId="59" applyFont="1" applyFill="1" applyBorder="1" applyAlignment="1">
      <alignment horizontal="right" vertical="center" wrapText="1"/>
    </xf>
    <xf numFmtId="3" fontId="17" fillId="2" borderId="39" xfId="28" applyNumberFormat="1" applyFont="1" applyFill="1" applyBorder="1" applyAlignment="1">
      <alignment horizontal="center" vertical="center" wrapText="1"/>
    </xf>
    <xf numFmtId="0" fontId="18" fillId="2" borderId="50" xfId="31" applyFont="1" applyFill="1" applyBorder="1" applyAlignment="1">
      <alignment horizontal="center" vertical="center" wrapText="1"/>
    </xf>
    <xf numFmtId="172" fontId="18" fillId="2" borderId="0" xfId="28" applyFont="1" applyFill="1" applyAlignment="1">
      <alignment vertical="center"/>
    </xf>
    <xf numFmtId="41" fontId="18" fillId="2" borderId="0" xfId="59" applyFont="1" applyFill="1" applyBorder="1" applyAlignment="1">
      <alignment horizontal="center" vertical="center" wrapText="1"/>
    </xf>
    <xf numFmtId="41" fontId="21" fillId="9" borderId="40" xfId="59" applyFont="1" applyFill="1" applyBorder="1" applyAlignment="1">
      <alignment horizontal="right" vertical="center" wrapText="1"/>
    </xf>
    <xf numFmtId="10" fontId="27" fillId="0" borderId="0" xfId="132" applyNumberFormat="1" applyFont="1" applyFill="1" applyAlignment="1">
      <alignment vertical="center"/>
    </xf>
    <xf numFmtId="10" fontId="27" fillId="2" borderId="0" xfId="132" applyNumberFormat="1" applyFont="1" applyFill="1" applyAlignment="1">
      <alignment vertical="center"/>
    </xf>
    <xf numFmtId="41" fontId="17" fillId="2" borderId="40" xfId="59" applyNumberFormat="1" applyFont="1" applyFill="1" applyBorder="1" applyAlignment="1">
      <alignment horizontal="center" vertical="center" wrapText="1"/>
    </xf>
    <xf numFmtId="41" fontId="27" fillId="0" borderId="0" xfId="132" applyNumberFormat="1" applyFont="1" applyFill="1" applyAlignment="1">
      <alignment vertical="center"/>
    </xf>
    <xf numFmtId="10" fontId="18" fillId="0" borderId="0" xfId="132" applyNumberFormat="1" applyFont="1" applyFill="1" applyAlignment="1">
      <alignment horizontal="left" vertical="center"/>
    </xf>
    <xf numFmtId="3" fontId="17" fillId="5" borderId="40" xfId="28" applyNumberFormat="1" applyFont="1" applyFill="1" applyBorder="1" applyAlignment="1">
      <alignment horizontal="center" vertical="center" wrapText="1"/>
    </xf>
    <xf numFmtId="170" fontId="21" fillId="9" borderId="40" xfId="59" applyNumberFormat="1" applyFont="1" applyFill="1" applyBorder="1" applyAlignment="1">
      <alignment horizontal="right" vertical="center" wrapText="1"/>
    </xf>
    <xf numFmtId="41" fontId="21" fillId="6" borderId="39" xfId="59" applyFont="1" applyFill="1" applyBorder="1" applyAlignment="1">
      <alignment horizontal="left" vertical="center" wrapText="1"/>
    </xf>
    <xf numFmtId="3" fontId="21" fillId="6" borderId="39" xfId="28" applyNumberFormat="1" applyFont="1" applyFill="1" applyBorder="1" applyAlignment="1">
      <alignment horizontal="center" vertical="center" wrapText="1"/>
    </xf>
    <xf numFmtId="41" fontId="21" fillId="9" borderId="39" xfId="59" applyFont="1" applyFill="1" applyBorder="1" applyAlignment="1">
      <alignment horizontal="center" vertical="center" wrapText="1"/>
    </xf>
    <xf numFmtId="3" fontId="21" fillId="9" borderId="39" xfId="28" applyNumberFormat="1" applyFont="1" applyFill="1" applyBorder="1" applyAlignment="1">
      <alignment horizontal="center" vertical="center" wrapText="1"/>
    </xf>
    <xf numFmtId="41" fontId="21" fillId="9" borderId="39" xfId="59" applyFont="1" applyFill="1" applyBorder="1" applyAlignment="1">
      <alignment horizontal="left" vertical="center" wrapText="1"/>
    </xf>
    <xf numFmtId="41" fontId="17" fillId="0" borderId="0" xfId="59" applyFont="1" applyAlignment="1">
      <alignment horizontal="left" vertical="center"/>
    </xf>
    <xf numFmtId="10" fontId="18" fillId="0" borderId="0" xfId="132" applyNumberFormat="1" applyFont="1" applyAlignment="1">
      <alignment vertical="center"/>
    </xf>
    <xf numFmtId="172" fontId="21" fillId="9" borderId="40" xfId="130" applyFont="1" applyFill="1" applyBorder="1" applyAlignment="1">
      <alignment vertical="center" wrapText="1"/>
    </xf>
    <xf numFmtId="172" fontId="21" fillId="9" borderId="40" xfId="130" applyFont="1" applyFill="1" applyBorder="1" applyAlignment="1">
      <alignment horizontal="center" vertical="center" wrapText="1"/>
    </xf>
    <xf numFmtId="172" fontId="21" fillId="9" borderId="40" xfId="130" applyFont="1" applyFill="1" applyBorder="1" applyAlignment="1">
      <alignment horizontal="center" vertical="center"/>
    </xf>
    <xf numFmtId="14" fontId="21" fillId="9" borderId="40" xfId="130" applyNumberFormat="1" applyFont="1" applyFill="1" applyBorder="1" applyAlignment="1">
      <alignment horizontal="center" vertical="center"/>
    </xf>
    <xf numFmtId="172" fontId="17" fillId="5" borderId="40" xfId="130" applyFont="1" applyFill="1" applyBorder="1" applyAlignment="1">
      <alignment horizontal="center" vertical="center" wrapText="1"/>
    </xf>
    <xf numFmtId="172" fontId="16" fillId="5" borderId="40" xfId="130" applyFont="1" applyFill="1" applyBorder="1" applyAlignment="1">
      <alignment horizontal="center" vertical="center"/>
    </xf>
    <xf numFmtId="172" fontId="18" fillId="2" borderId="40" xfId="130" applyFont="1" applyFill="1" applyBorder="1" applyAlignment="1">
      <alignment horizontal="center" vertical="center" wrapText="1"/>
    </xf>
    <xf numFmtId="172" fontId="18" fillId="5" borderId="40" xfId="130" applyFont="1" applyFill="1" applyBorder="1" applyAlignment="1">
      <alignment horizontal="center" vertical="center" wrapText="1"/>
    </xf>
    <xf numFmtId="172" fontId="22" fillId="2" borderId="39" xfId="130" applyFont="1" applyFill="1" applyBorder="1" applyAlignment="1">
      <alignment horizontal="center" vertical="center"/>
    </xf>
    <xf numFmtId="3" fontId="21" fillId="8" borderId="30" xfId="28" applyNumberFormat="1" applyFont="1" applyFill="1" applyBorder="1" applyAlignment="1">
      <alignment horizontal="center" vertical="center"/>
    </xf>
    <xf numFmtId="172" fontId="17" fillId="0" borderId="0" xfId="28" applyFont="1" applyAlignment="1">
      <alignment horizontal="center" vertical="center"/>
    </xf>
    <xf numFmtId="3" fontId="21" fillId="8" borderId="30" xfId="28" applyNumberFormat="1" applyFont="1" applyFill="1" applyBorder="1" applyAlignment="1">
      <alignment horizontal="center" vertical="center"/>
    </xf>
    <xf numFmtId="3" fontId="21" fillId="6" borderId="30" xfId="28" applyNumberFormat="1" applyFont="1" applyFill="1" applyBorder="1" applyAlignment="1">
      <alignment horizontal="center" vertical="center"/>
    </xf>
    <xf numFmtId="3" fontId="17" fillId="5" borderId="40" xfId="28" applyNumberFormat="1" applyFont="1" applyFill="1" applyBorder="1" applyAlignment="1">
      <alignment horizontal="right" vertical="center" wrapText="1"/>
    </xf>
    <xf numFmtId="172" fontId="16" fillId="0" borderId="0" xfId="87" applyFont="1" applyAlignment="1">
      <alignment horizontal="left"/>
    </xf>
    <xf numFmtId="41" fontId="16" fillId="0" borderId="0" xfId="59" applyFont="1" applyAlignment="1"/>
    <xf numFmtId="172" fontId="18" fillId="0" borderId="0" xfId="87" applyFont="1"/>
    <xf numFmtId="172" fontId="18" fillId="2" borderId="0" xfId="87" applyFont="1" applyFill="1" applyBorder="1"/>
    <xf numFmtId="172" fontId="18" fillId="2" borderId="0" xfId="87" applyFont="1" applyFill="1" applyAlignment="1">
      <alignment vertical="center"/>
    </xf>
    <xf numFmtId="172" fontId="28" fillId="0" borderId="0" xfId="87" applyFont="1"/>
    <xf numFmtId="41" fontId="16" fillId="0" borderId="0" xfId="59" applyFont="1" applyAlignment="1">
      <alignment horizontal="center"/>
    </xf>
    <xf numFmtId="41" fontId="21" fillId="6" borderId="30" xfId="59" applyFont="1" applyFill="1" applyBorder="1" applyAlignment="1">
      <alignment horizontal="center" vertical="center" wrapText="1"/>
    </xf>
    <xf numFmtId="172" fontId="21" fillId="0" borderId="0" xfId="87" applyFont="1"/>
    <xf numFmtId="172" fontId="17" fillId="0" borderId="0" xfId="87" applyFont="1"/>
    <xf numFmtId="41" fontId="21" fillId="35" borderId="30" xfId="59" applyFont="1" applyFill="1" applyBorder="1" applyAlignment="1">
      <alignment horizontal="center" vertical="center" wrapText="1"/>
    </xf>
    <xf numFmtId="179" fontId="21" fillId="35" borderId="30" xfId="28" applyNumberFormat="1" applyFont="1" applyFill="1" applyBorder="1" applyAlignment="1">
      <alignment horizontal="center" vertical="center"/>
    </xf>
    <xf numFmtId="172" fontId="18" fillId="0" borderId="0" xfId="87" applyFont="1" applyAlignment="1">
      <alignment horizontal="center"/>
    </xf>
    <xf numFmtId="172" fontId="21" fillId="9" borderId="40" xfId="131" applyFont="1" applyFill="1" applyBorder="1" applyAlignment="1">
      <alignment horizontal="right" vertical="center" wrapText="1"/>
    </xf>
    <xf numFmtId="172" fontId="21" fillId="9" borderId="40" xfId="131" applyFont="1" applyFill="1" applyBorder="1" applyAlignment="1">
      <alignment vertical="center" wrapText="1"/>
    </xf>
    <xf numFmtId="172" fontId="18" fillId="2" borderId="0" xfId="87" applyFont="1" applyFill="1" applyAlignment="1">
      <alignment horizontal="center"/>
    </xf>
    <xf numFmtId="0" fontId="21" fillId="9" borderId="40" xfId="131" applyNumberFormat="1" applyFont="1" applyFill="1" applyBorder="1" applyAlignment="1">
      <alignment horizontal="right" vertical="center" wrapText="1"/>
    </xf>
    <xf numFmtId="3" fontId="28" fillId="6" borderId="39" xfId="28" applyNumberFormat="1" applyFont="1" applyFill="1" applyBorder="1" applyAlignment="1">
      <alignment horizontal="right" vertical="center" wrapText="1"/>
    </xf>
    <xf numFmtId="3" fontId="28" fillId="6" borderId="39" xfId="28" applyNumberFormat="1" applyFont="1" applyFill="1" applyBorder="1" applyAlignment="1">
      <alignment vertical="center" wrapText="1"/>
    </xf>
    <xf numFmtId="41" fontId="28" fillId="6" borderId="39" xfId="59" applyFont="1" applyFill="1" applyBorder="1" applyAlignment="1">
      <alignment horizontal="right" vertical="center"/>
    </xf>
    <xf numFmtId="41" fontId="28" fillId="6" borderId="40" xfId="59" applyFont="1" applyFill="1" applyBorder="1" applyAlignment="1">
      <alignment vertical="center" wrapText="1"/>
    </xf>
    <xf numFmtId="172" fontId="18" fillId="0" borderId="0" xfId="87" applyFont="1" applyAlignment="1">
      <alignment horizontal="right"/>
    </xf>
    <xf numFmtId="172" fontId="18" fillId="0" borderId="0" xfId="87" applyFont="1" applyAlignment="1">
      <alignment horizontal="left"/>
    </xf>
    <xf numFmtId="41" fontId="18" fillId="0" borderId="0" xfId="59" applyFont="1"/>
    <xf numFmtId="41" fontId="22" fillId="2" borderId="40" xfId="31" applyNumberFormat="1" applyFont="1" applyFill="1" applyBorder="1" applyAlignment="1">
      <alignment horizontal="right" vertical="center" wrapText="1"/>
    </xf>
    <xf numFmtId="43" fontId="22" fillId="2" borderId="39" xfId="25" applyNumberFormat="1" applyFont="1" applyFill="1" applyBorder="1" applyAlignment="1">
      <alignment horizontal="center" vertical="center"/>
    </xf>
    <xf numFmtId="0" fontId="46" fillId="0" borderId="0" xfId="95" applyFont="1"/>
    <xf numFmtId="0" fontId="15" fillId="0" borderId="0" xfId="95" applyFont="1" applyAlignment="1">
      <alignment horizontal="center" wrapText="1"/>
    </xf>
    <xf numFmtId="9" fontId="15" fillId="0" borderId="0" xfId="95" applyNumberFormat="1" applyFont="1" applyAlignment="1">
      <alignment horizontal="center" wrapText="1"/>
    </xf>
    <xf numFmtId="3" fontId="15" fillId="0" borderId="0" xfId="95" applyNumberFormat="1" applyFont="1" applyAlignment="1">
      <alignment horizontal="center" wrapText="1"/>
    </xf>
    <xf numFmtId="0" fontId="46" fillId="0" borderId="0" xfId="95" applyFont="1" applyAlignment="1"/>
    <xf numFmtId="0" fontId="46" fillId="0" borderId="0" xfId="95" applyFont="1" applyAlignment="1">
      <alignment horizontal="center"/>
    </xf>
    <xf numFmtId="9" fontId="15" fillId="0" borderId="0" xfId="95" applyNumberFormat="1" applyFont="1" applyAlignment="1">
      <alignment horizontal="center" vertical="top" wrapText="1"/>
    </xf>
    <xf numFmtId="0" fontId="15" fillId="0" borderId="0" xfId="95" applyFont="1" applyAlignment="1">
      <alignment horizontal="left" wrapText="1"/>
    </xf>
    <xf numFmtId="3" fontId="46" fillId="0" borderId="0" xfId="95" applyNumberFormat="1" applyFont="1"/>
    <xf numFmtId="3" fontId="47" fillId="0" borderId="0" xfId="95" applyNumberFormat="1" applyFont="1" applyAlignment="1">
      <alignment horizontal="right" vertical="center"/>
    </xf>
    <xf numFmtId="9" fontId="46" fillId="0" borderId="0" xfId="95" applyNumberFormat="1" applyFont="1"/>
    <xf numFmtId="0" fontId="46" fillId="0" borderId="0" xfId="95" applyFont="1" applyAlignment="1">
      <alignment horizontal="right"/>
    </xf>
    <xf numFmtId="180" fontId="46" fillId="0" borderId="0" xfId="95" applyNumberFormat="1" applyFont="1" applyAlignment="1">
      <alignment horizontal="left"/>
    </xf>
    <xf numFmtId="3" fontId="48" fillId="0" borderId="0" xfId="95" applyNumberFormat="1" applyFont="1" applyAlignment="1">
      <alignment horizontal="right"/>
    </xf>
    <xf numFmtId="3" fontId="48" fillId="0" borderId="0" xfId="95" applyNumberFormat="1" applyFont="1"/>
    <xf numFmtId="3" fontId="48" fillId="0" borderId="0" xfId="95" applyNumberFormat="1" applyFont="1" applyAlignment="1">
      <alignment horizontal="left"/>
    </xf>
    <xf numFmtId="0" fontId="48" fillId="0" borderId="0" xfId="95" applyNumberFormat="1" applyFont="1" applyAlignment="1">
      <alignment horizontal="left"/>
    </xf>
    <xf numFmtId="3" fontId="15" fillId="0" borderId="0" xfId="95" applyNumberFormat="1" applyFont="1" applyAlignment="1">
      <alignment horizontal="right"/>
    </xf>
    <xf numFmtId="3" fontId="15" fillId="0" borderId="0" xfId="95" applyNumberFormat="1" applyFont="1"/>
    <xf numFmtId="3" fontId="15" fillId="0" borderId="0" xfId="95" applyNumberFormat="1" applyFont="1" applyAlignment="1">
      <alignment horizontal="left"/>
    </xf>
    <xf numFmtId="0" fontId="46" fillId="0" borderId="0" xfId="95" applyFont="1" applyAlignment="1">
      <alignment horizontal="left"/>
    </xf>
    <xf numFmtId="3" fontId="46" fillId="0" borderId="0" xfId="95" applyNumberFormat="1" applyFont="1" applyAlignment="1">
      <alignment horizontal="left"/>
    </xf>
    <xf numFmtId="3" fontId="46" fillId="0" borderId="0" xfId="95" applyNumberFormat="1" applyFont="1" applyAlignment="1">
      <alignment horizontal="right"/>
    </xf>
    <xf numFmtId="0" fontId="15" fillId="0" borderId="58" xfId="95" applyFont="1" applyBorder="1" applyAlignment="1">
      <alignment horizontal="center"/>
    </xf>
    <xf numFmtId="0" fontId="46" fillId="0" borderId="9" xfId="95" applyFont="1" applyFill="1" applyBorder="1" applyAlignment="1">
      <alignment horizontal="center" vertical="center"/>
    </xf>
    <xf numFmtId="9" fontId="46" fillId="0" borderId="59" xfId="95" applyNumberFormat="1" applyFont="1" applyFill="1" applyBorder="1" applyAlignment="1">
      <alignment horizontal="center" vertical="center" wrapText="1"/>
    </xf>
    <xf numFmtId="3" fontId="46" fillId="0" borderId="59" xfId="95" applyNumberFormat="1" applyFont="1" applyFill="1" applyBorder="1" applyAlignment="1">
      <alignment horizontal="center" wrapText="1"/>
    </xf>
    <xf numFmtId="0" fontId="46" fillId="0" borderId="60" xfId="95" applyFont="1" applyFill="1" applyBorder="1" applyAlignment="1">
      <alignment horizontal="center" vertical="center" wrapText="1"/>
    </xf>
    <xf numFmtId="9" fontId="46" fillId="0" borderId="60" xfId="95" applyNumberFormat="1" applyFont="1" applyFill="1" applyBorder="1" applyAlignment="1">
      <alignment horizontal="center" vertical="center" wrapText="1"/>
    </xf>
    <xf numFmtId="0" fontId="46" fillId="0" borderId="61" xfId="95" applyFont="1" applyFill="1" applyBorder="1" applyAlignment="1">
      <alignment horizontal="center" vertical="center" wrapText="1"/>
    </xf>
    <xf numFmtId="0" fontId="46" fillId="0" borderId="10" xfId="95" applyFont="1" applyBorder="1" applyAlignment="1">
      <alignment horizontal="center" vertical="center" wrapText="1"/>
    </xf>
    <xf numFmtId="0" fontId="15" fillId="0" borderId="62" xfId="95" applyFont="1" applyBorder="1" applyAlignment="1">
      <alignment horizontal="center" vertical="center" wrapText="1"/>
    </xf>
    <xf numFmtId="0" fontId="46" fillId="0" borderId="8" xfId="95" applyFont="1" applyBorder="1" applyAlignment="1">
      <alignment horizontal="center" wrapText="1"/>
    </xf>
    <xf numFmtId="10" fontId="46" fillId="0" borderId="63" xfId="95" applyNumberFormat="1" applyFont="1" applyBorder="1"/>
    <xf numFmtId="3" fontId="46" fillId="0" borderId="63" xfId="95" applyNumberFormat="1" applyFont="1" applyBorder="1"/>
    <xf numFmtId="3" fontId="46" fillId="0" borderId="16" xfId="95" applyNumberFormat="1" applyFont="1" applyBorder="1"/>
    <xf numFmtId="10" fontId="46" fillId="0" borderId="16" xfId="95" applyNumberFormat="1" applyFont="1" applyBorder="1" applyAlignment="1">
      <alignment horizontal="center"/>
    </xf>
    <xf numFmtId="180" fontId="46" fillId="0" borderId="63" xfId="95" applyNumberFormat="1" applyFont="1" applyBorder="1" applyAlignment="1">
      <alignment horizontal="center"/>
    </xf>
    <xf numFmtId="3" fontId="46" fillId="0" borderId="7" xfId="95" applyNumberFormat="1" applyFont="1" applyBorder="1" applyAlignment="1">
      <alignment horizontal="center"/>
    </xf>
    <xf numFmtId="3" fontId="15" fillId="0" borderId="18" xfId="95" applyNumberFormat="1" applyFont="1" applyBorder="1"/>
    <xf numFmtId="0" fontId="46" fillId="0" borderId="12" xfId="95" applyFont="1" applyBorder="1" applyAlignment="1">
      <alignment horizontal="center"/>
    </xf>
    <xf numFmtId="10" fontId="46" fillId="0" borderId="2" xfId="95" applyNumberFormat="1" applyFont="1" applyBorder="1"/>
    <xf numFmtId="3" fontId="46" fillId="0" borderId="2" xfId="95" applyNumberFormat="1" applyFont="1" applyBorder="1"/>
    <xf numFmtId="3" fontId="46" fillId="0" borderId="3" xfId="95" applyNumberFormat="1" applyFont="1" applyBorder="1"/>
    <xf numFmtId="10" fontId="46" fillId="0" borderId="3" xfId="95" applyNumberFormat="1" applyFont="1" applyBorder="1" applyAlignment="1">
      <alignment horizontal="center"/>
    </xf>
    <xf numFmtId="180" fontId="46" fillId="0" borderId="2" xfId="95" applyNumberFormat="1" applyFont="1" applyBorder="1" applyAlignment="1">
      <alignment horizontal="center"/>
    </xf>
    <xf numFmtId="3" fontId="46" fillId="0" borderId="13" xfId="95" applyNumberFormat="1" applyFont="1" applyBorder="1" applyAlignment="1">
      <alignment horizontal="center"/>
    </xf>
    <xf numFmtId="3" fontId="15" fillId="0" borderId="22" xfId="95" applyNumberFormat="1" applyFont="1" applyBorder="1"/>
    <xf numFmtId="3" fontId="46" fillId="10" borderId="0" xfId="95" applyNumberFormat="1" applyFont="1" applyFill="1"/>
    <xf numFmtId="0" fontId="46" fillId="0" borderId="5" xfId="95" applyFont="1" applyBorder="1"/>
    <xf numFmtId="3" fontId="15" fillId="0" borderId="5" xfId="95" applyNumberFormat="1" applyFont="1" applyBorder="1"/>
    <xf numFmtId="3" fontId="46" fillId="10" borderId="5" xfId="95" applyNumberFormat="1" applyFont="1" applyFill="1" applyBorder="1"/>
    <xf numFmtId="0" fontId="46" fillId="0" borderId="14" xfId="95" applyFont="1" applyBorder="1" applyAlignment="1">
      <alignment horizontal="center"/>
    </xf>
    <xf numFmtId="10" fontId="46" fillId="0" borderId="17" xfId="95" applyNumberFormat="1" applyFont="1" applyBorder="1"/>
    <xf numFmtId="3" fontId="46" fillId="0" borderId="17" xfId="95" applyNumberFormat="1" applyFont="1" applyBorder="1"/>
    <xf numFmtId="3" fontId="46" fillId="0" borderId="64" xfId="95" applyNumberFormat="1" applyFont="1" applyBorder="1"/>
    <xf numFmtId="10" fontId="46" fillId="0" borderId="64" xfId="95" applyNumberFormat="1" applyFont="1" applyBorder="1" applyAlignment="1">
      <alignment horizontal="center"/>
    </xf>
    <xf numFmtId="180" fontId="46" fillId="0" borderId="17" xfId="95" applyNumberFormat="1" applyFont="1" applyBorder="1" applyAlignment="1">
      <alignment horizontal="center"/>
    </xf>
    <xf numFmtId="3" fontId="46" fillId="0" borderId="15" xfId="95" applyNumberFormat="1" applyFont="1" applyBorder="1" applyAlignment="1">
      <alignment horizontal="center"/>
    </xf>
    <xf numFmtId="3" fontId="15" fillId="0" borderId="23" xfId="95" applyNumberFormat="1" applyFont="1" applyBorder="1"/>
    <xf numFmtId="0" fontId="15" fillId="0" borderId="21" xfId="95" applyFont="1" applyBorder="1" applyAlignment="1">
      <alignment horizontal="center"/>
    </xf>
    <xf numFmtId="10" fontId="15" fillId="0" borderId="65" xfId="95" applyNumberFormat="1" applyFont="1" applyBorder="1"/>
    <xf numFmtId="10" fontId="15" fillId="0" borderId="27" xfId="95" applyNumberFormat="1" applyFont="1" applyBorder="1"/>
    <xf numFmtId="3" fontId="15" fillId="0" borderId="11" xfId="95" applyNumberFormat="1" applyFont="1" applyBorder="1"/>
    <xf numFmtId="3" fontId="15" fillId="0" borderId="62" xfId="95" applyNumberFormat="1" applyFont="1" applyBorder="1"/>
    <xf numFmtId="10" fontId="46" fillId="0" borderId="0" xfId="95" applyNumberFormat="1" applyFont="1"/>
    <xf numFmtId="0" fontId="15" fillId="0" borderId="2" xfId="95" applyFont="1" applyBorder="1" applyAlignment="1">
      <alignment horizontal="center"/>
    </xf>
    <xf numFmtId="180" fontId="15" fillId="0" borderId="2" xfId="95" applyNumberFormat="1" applyFont="1" applyBorder="1" applyAlignment="1">
      <alignment horizontal="center"/>
    </xf>
    <xf numFmtId="0" fontId="15" fillId="0" borderId="0" xfId="95" applyFont="1" applyAlignment="1">
      <alignment horizontal="center"/>
    </xf>
    <xf numFmtId="0" fontId="46" fillId="0" borderId="2" xfId="95" applyFont="1" applyBorder="1" applyAlignment="1">
      <alignment vertical="center" wrapText="1"/>
    </xf>
    <xf numFmtId="170" fontId="15" fillId="10" borderId="0" xfId="25" applyNumberFormat="1" applyFont="1" applyFill="1"/>
    <xf numFmtId="10" fontId="46" fillId="0" borderId="65" xfId="95" applyNumberFormat="1" applyFont="1" applyBorder="1"/>
    <xf numFmtId="172" fontId="46" fillId="0" borderId="0" xfId="87" applyFont="1"/>
    <xf numFmtId="43" fontId="15" fillId="0" borderId="2" xfId="25" applyFont="1" applyBorder="1" applyAlignment="1">
      <alignment horizontal="center"/>
    </xf>
    <xf numFmtId="43" fontId="15" fillId="0" borderId="0" xfId="25" applyFont="1" applyAlignment="1">
      <alignment horizontal="center"/>
    </xf>
    <xf numFmtId="43" fontId="46" fillId="0" borderId="2" xfId="25" applyFont="1" applyBorder="1" applyAlignment="1">
      <alignment vertical="center" wrapText="1"/>
    </xf>
    <xf numFmtId="43" fontId="46" fillId="0" borderId="2" xfId="25" applyFont="1" applyBorder="1"/>
    <xf numFmtId="43" fontId="46" fillId="0" borderId="0" xfId="25" applyFont="1"/>
    <xf numFmtId="170" fontId="46" fillId="0" borderId="0" xfId="25" applyNumberFormat="1" applyFont="1"/>
    <xf numFmtId="0" fontId="46" fillId="37" borderId="0" xfId="95" applyFont="1" applyFill="1"/>
    <xf numFmtId="3" fontId="46" fillId="37" borderId="2" xfId="95" applyNumberFormat="1" applyFont="1" applyFill="1" applyBorder="1"/>
    <xf numFmtId="170" fontId="46" fillId="37" borderId="0" xfId="25" applyNumberFormat="1" applyFont="1" applyFill="1"/>
    <xf numFmtId="172" fontId="50" fillId="0" borderId="0" xfId="87" applyFont="1" applyAlignment="1">
      <alignment horizontal="left"/>
    </xf>
    <xf numFmtId="172" fontId="50" fillId="0" borderId="0" xfId="87" applyFont="1" applyAlignment="1"/>
    <xf numFmtId="170" fontId="50" fillId="0" borderId="0" xfId="17" applyNumberFormat="1" applyFont="1" applyAlignment="1"/>
    <xf numFmtId="170" fontId="18" fillId="0" borderId="0" xfId="17" applyNumberFormat="1" applyFont="1"/>
    <xf numFmtId="172" fontId="50" fillId="0" borderId="0" xfId="87" applyFont="1" applyAlignment="1">
      <alignment horizontal="center"/>
    </xf>
    <xf numFmtId="170" fontId="50" fillId="0" borderId="0" xfId="17" applyNumberFormat="1" applyFont="1" applyAlignment="1">
      <alignment horizontal="center"/>
    </xf>
    <xf numFmtId="170" fontId="21" fillId="6" borderId="68" xfId="17" applyNumberFormat="1" applyFont="1" applyFill="1" applyBorder="1" applyAlignment="1">
      <alignment horizontal="center" vertical="center" wrapText="1"/>
    </xf>
    <xf numFmtId="172" fontId="21" fillId="9" borderId="40" xfId="133" applyFont="1" applyFill="1" applyBorder="1" applyAlignment="1">
      <alignment horizontal="right" vertical="center" wrapText="1"/>
    </xf>
    <xf numFmtId="172" fontId="21" fillId="9" borderId="40" xfId="133" applyFont="1" applyFill="1" applyBorder="1" applyAlignment="1">
      <alignment vertical="center" wrapText="1"/>
    </xf>
    <xf numFmtId="170" fontId="21" fillId="9" borderId="40" xfId="17" applyNumberFormat="1" applyFont="1" applyFill="1" applyBorder="1" applyAlignment="1">
      <alignment horizontal="center" vertical="center"/>
    </xf>
    <xf numFmtId="170" fontId="16" fillId="5" borderId="40" xfId="17" applyNumberFormat="1" applyFont="1" applyFill="1" applyBorder="1" applyAlignment="1">
      <alignment horizontal="center" vertical="center"/>
    </xf>
    <xf numFmtId="170" fontId="17" fillId="5" borderId="40" xfId="17" applyNumberFormat="1" applyFont="1" applyFill="1" applyBorder="1" applyAlignment="1">
      <alignment horizontal="center" vertical="center" wrapText="1"/>
    </xf>
    <xf numFmtId="170" fontId="18" fillId="2" borderId="40" xfId="17" applyNumberFormat="1" applyFont="1" applyFill="1" applyBorder="1" applyAlignment="1">
      <alignment horizontal="center" vertical="center" wrapText="1"/>
    </xf>
    <xf numFmtId="172" fontId="18" fillId="2" borderId="0" xfId="87" applyFont="1" applyFill="1"/>
    <xf numFmtId="172" fontId="21" fillId="6" borderId="0" xfId="87" applyFont="1" applyFill="1" applyAlignment="1">
      <alignment horizontal="right"/>
    </xf>
    <xf numFmtId="172" fontId="21" fillId="6" borderId="0" xfId="87" applyFont="1" applyFill="1"/>
    <xf numFmtId="170" fontId="21" fillId="38" borderId="39" xfId="17" applyNumberFormat="1" applyFont="1" applyFill="1" applyBorder="1" applyAlignment="1">
      <alignment horizontal="right" vertical="center" wrapText="1"/>
    </xf>
    <xf numFmtId="170" fontId="21" fillId="6" borderId="0" xfId="17" applyNumberFormat="1" applyFont="1" applyFill="1"/>
    <xf numFmtId="9" fontId="17" fillId="0" borderId="0" xfId="132" applyFont="1" applyAlignment="1">
      <alignment horizontal="center"/>
    </xf>
    <xf numFmtId="170" fontId="22" fillId="0" borderId="40" xfId="17" applyNumberFormat="1" applyFont="1" applyFill="1" applyBorder="1" applyAlignment="1">
      <alignment horizontal="center" vertical="center"/>
    </xf>
    <xf numFmtId="0" fontId="21" fillId="9" borderId="40" xfId="133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0" fillId="0" borderId="26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vertical="center"/>
    </xf>
    <xf numFmtId="41" fontId="20" fillId="0" borderId="0" xfId="16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5" fillId="7" borderId="2" xfId="0" applyFont="1" applyFill="1" applyBorder="1" applyAlignment="1">
      <alignment horizontal="center" vertical="center"/>
    </xf>
    <xf numFmtId="171" fontId="25" fillId="7" borderId="2" xfId="132" applyNumberFormat="1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right" vertical="center"/>
    </xf>
    <xf numFmtId="0" fontId="19" fillId="4" borderId="2" xfId="0" applyFont="1" applyFill="1" applyBorder="1" applyAlignment="1">
      <alignment vertical="center"/>
    </xf>
    <xf numFmtId="41" fontId="19" fillId="4" borderId="2" xfId="16" applyFont="1" applyFill="1" applyBorder="1" applyAlignment="1">
      <alignment vertical="center"/>
    </xf>
    <xf numFmtId="171" fontId="19" fillId="4" borderId="2" xfId="132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right" vertical="center"/>
    </xf>
    <xf numFmtId="0" fontId="20" fillId="3" borderId="2" xfId="0" applyFont="1" applyFill="1" applyBorder="1" applyAlignment="1">
      <alignment vertical="center"/>
    </xf>
    <xf numFmtId="41" fontId="20" fillId="3" borderId="2" xfId="16" applyFont="1" applyFill="1" applyBorder="1" applyAlignment="1">
      <alignment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vertical="center"/>
    </xf>
    <xf numFmtId="41" fontId="20" fillId="0" borderId="2" xfId="16" applyFont="1" applyFill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24" fillId="7" borderId="2" xfId="0" applyFont="1" applyFill="1" applyBorder="1" applyAlignment="1">
      <alignment horizontal="right" vertical="center"/>
    </xf>
    <xf numFmtId="0" fontId="19" fillId="7" borderId="2" xfId="0" applyFont="1" applyFill="1" applyBorder="1" applyAlignment="1">
      <alignment vertical="center"/>
    </xf>
    <xf numFmtId="41" fontId="19" fillId="7" borderId="2" xfId="0" applyNumberFormat="1" applyFont="1" applyFill="1" applyBorder="1" applyAlignment="1">
      <alignment horizontal="right" vertical="center"/>
    </xf>
    <xf numFmtId="171" fontId="19" fillId="7" borderId="2" xfId="132" applyNumberFormat="1" applyFont="1" applyFill="1" applyBorder="1" applyAlignment="1">
      <alignment horizontal="center" vertical="center" wrapText="1"/>
    </xf>
    <xf numFmtId="172" fontId="18" fillId="0" borderId="0" xfId="28" applyFont="1" applyAlignment="1">
      <alignment horizontal="left" vertical="center" wrapText="1"/>
    </xf>
    <xf numFmtId="172" fontId="22" fillId="0" borderId="0" xfId="110" applyFont="1" applyAlignment="1">
      <alignment horizontal="center" vertical="center"/>
    </xf>
    <xf numFmtId="0" fontId="16" fillId="0" borderId="0" xfId="0" applyFont="1" applyAlignment="1"/>
    <xf numFmtId="172" fontId="22" fillId="0" borderId="0" xfId="110" applyFont="1" applyAlignment="1">
      <alignment horizontal="left" vertical="center" wrapText="1"/>
    </xf>
    <xf numFmtId="172" fontId="22" fillId="0" borderId="0" xfId="110" applyFont="1" applyAlignment="1">
      <alignment horizontal="left" vertical="center"/>
    </xf>
    <xf numFmtId="170" fontId="22" fillId="0" borderId="0" xfId="25" applyNumberFormat="1" applyFont="1" applyAlignment="1">
      <alignment horizontal="center" vertical="center"/>
    </xf>
    <xf numFmtId="181" fontId="22" fillId="0" borderId="0" xfId="110" applyNumberFormat="1" applyFont="1" applyAlignment="1">
      <alignment horizontal="center" vertical="center"/>
    </xf>
    <xf numFmtId="172" fontId="22" fillId="2" borderId="0" xfId="11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72" fontId="18" fillId="0" borderId="0" xfId="94" applyFont="1" applyAlignment="1">
      <alignment horizontal="center" vertical="center"/>
    </xf>
    <xf numFmtId="172" fontId="18" fillId="2" borderId="0" xfId="94" applyFont="1" applyFill="1" applyBorder="1" applyAlignment="1">
      <alignment horizontal="center" vertical="center"/>
    </xf>
    <xf numFmtId="172" fontId="18" fillId="2" borderId="0" xfId="98" applyFont="1" applyFill="1" applyBorder="1" applyAlignment="1">
      <alignment horizontal="center" vertical="center"/>
    </xf>
    <xf numFmtId="172" fontId="18" fillId="2" borderId="0" xfId="98" applyFont="1" applyFill="1" applyBorder="1" applyAlignment="1">
      <alignment horizontal="center" vertical="center" wrapText="1"/>
    </xf>
    <xf numFmtId="172" fontId="17" fillId="39" borderId="33" xfId="94" applyFont="1" applyFill="1" applyBorder="1" applyAlignment="1">
      <alignment horizontal="center" vertical="center" wrapText="1"/>
    </xf>
    <xf numFmtId="181" fontId="17" fillId="39" borderId="33" xfId="94" applyNumberFormat="1" applyFont="1" applyFill="1" applyBorder="1" applyAlignment="1">
      <alignment horizontal="center" vertical="center" wrapText="1"/>
    </xf>
    <xf numFmtId="172" fontId="17" fillId="39" borderId="33" xfId="94" applyFont="1" applyFill="1" applyBorder="1" applyAlignment="1">
      <alignment horizontal="left" vertical="center" wrapText="1"/>
    </xf>
    <xf numFmtId="172" fontId="18" fillId="2" borderId="33" xfId="94" applyFont="1" applyFill="1" applyBorder="1" applyAlignment="1">
      <alignment horizontal="center" vertical="center" wrapText="1"/>
    </xf>
    <xf numFmtId="172" fontId="18" fillId="0" borderId="33" xfId="94" applyFont="1" applyFill="1" applyBorder="1" applyAlignment="1">
      <alignment horizontal="left" vertical="center" wrapText="1"/>
    </xf>
    <xf numFmtId="3" fontId="18" fillId="0" borderId="33" xfId="94" applyNumberFormat="1" applyFont="1" applyFill="1" applyBorder="1" applyAlignment="1">
      <alignment horizontal="center" vertical="center" wrapText="1"/>
    </xf>
    <xf numFmtId="172" fontId="18" fillId="0" borderId="33" xfId="94" applyFont="1" applyFill="1" applyBorder="1" applyAlignment="1">
      <alignment horizontal="center" vertical="center" wrapText="1"/>
    </xf>
    <xf numFmtId="170" fontId="18" fillId="0" borderId="33" xfId="25" applyNumberFormat="1" applyFont="1" applyFill="1" applyBorder="1" applyAlignment="1">
      <alignment horizontal="center" vertical="center" wrapText="1"/>
    </xf>
    <xf numFmtId="9" fontId="18" fillId="0" borderId="33" xfId="94" applyNumberFormat="1" applyFont="1" applyFill="1" applyBorder="1" applyAlignment="1">
      <alignment horizontal="center" vertical="center" wrapText="1"/>
    </xf>
    <xf numFmtId="181" fontId="18" fillId="0" borderId="33" xfId="94" applyNumberFormat="1" applyFont="1" applyFill="1" applyBorder="1" applyAlignment="1">
      <alignment horizontal="center" vertical="center" wrapText="1"/>
    </xf>
    <xf numFmtId="172" fontId="18" fillId="0" borderId="33" xfId="94" applyFont="1" applyFill="1" applyBorder="1" applyAlignment="1">
      <alignment vertical="center" wrapText="1"/>
    </xf>
    <xf numFmtId="170" fontId="17" fillId="5" borderId="33" xfId="94" applyNumberFormat="1" applyFont="1" applyFill="1" applyBorder="1" applyAlignment="1">
      <alignment horizontal="center" vertical="center" wrapText="1"/>
    </xf>
    <xf numFmtId="172" fontId="18" fillId="5" borderId="33" xfId="94" applyFont="1" applyFill="1" applyBorder="1" applyAlignment="1">
      <alignment horizontal="center" vertical="center" wrapText="1"/>
    </xf>
    <xf numFmtId="181" fontId="18" fillId="5" borderId="33" xfId="94" applyNumberFormat="1" applyFont="1" applyFill="1" applyBorder="1" applyAlignment="1">
      <alignment horizontal="center" vertical="center" wrapText="1"/>
    </xf>
    <xf numFmtId="172" fontId="18" fillId="5" borderId="33" xfId="94" applyFont="1" applyFill="1" applyBorder="1" applyAlignment="1">
      <alignment horizontal="left" vertical="center" wrapText="1"/>
    </xf>
    <xf numFmtId="181" fontId="17" fillId="39" borderId="34" xfId="94" applyNumberFormat="1" applyFont="1" applyFill="1" applyBorder="1" applyAlignment="1">
      <alignment horizontal="center" vertical="center" wrapText="1"/>
    </xf>
    <xf numFmtId="172" fontId="17" fillId="39" borderId="34" xfId="94" applyFont="1" applyFill="1" applyBorder="1" applyAlignment="1">
      <alignment horizontal="left" vertical="center" wrapText="1"/>
    </xf>
    <xf numFmtId="172" fontId="22" fillId="2" borderId="0" xfId="110" applyFont="1" applyFill="1" applyAlignment="1">
      <alignment horizontal="center" vertical="center"/>
    </xf>
    <xf numFmtId="172" fontId="18" fillId="2" borderId="33" xfId="94" applyFont="1" applyFill="1" applyBorder="1" applyAlignment="1">
      <alignment horizontal="center" vertical="center"/>
    </xf>
    <xf numFmtId="3" fontId="18" fillId="2" borderId="38" xfId="28" applyNumberFormat="1" applyFont="1" applyFill="1" applyBorder="1" applyAlignment="1">
      <alignment horizontal="left" vertical="center" wrapText="1"/>
    </xf>
    <xf numFmtId="172" fontId="18" fillId="2" borderId="33" xfId="94" applyFont="1" applyFill="1" applyBorder="1" applyAlignment="1">
      <alignment horizontal="left" vertical="center" wrapText="1"/>
    </xf>
    <xf numFmtId="172" fontId="18" fillId="2" borderId="33" xfId="94" applyFont="1" applyFill="1" applyBorder="1" applyAlignment="1">
      <alignment vertical="center" wrapText="1"/>
    </xf>
    <xf numFmtId="9" fontId="18" fillId="2" borderId="33" xfId="94" applyNumberFormat="1" applyFont="1" applyFill="1" applyBorder="1" applyAlignment="1">
      <alignment horizontal="center" vertical="center" wrapText="1"/>
    </xf>
    <xf numFmtId="37" fontId="18" fillId="2" borderId="33" xfId="94" applyNumberFormat="1" applyFont="1" applyFill="1" applyBorder="1" applyAlignment="1">
      <alignment horizontal="right" vertical="center" wrapText="1"/>
    </xf>
    <xf numFmtId="172" fontId="18" fillId="0" borderId="37" xfId="94" applyFont="1" applyBorder="1" applyAlignment="1">
      <alignment horizontal="center" vertical="center"/>
    </xf>
    <xf numFmtId="17" fontId="22" fillId="2" borderId="38" xfId="135" applyNumberFormat="1" applyFont="1" applyFill="1" applyBorder="1" applyAlignment="1">
      <alignment horizontal="center" vertical="center"/>
    </xf>
    <xf numFmtId="172" fontId="18" fillId="2" borderId="0" xfId="110" applyFont="1" applyFill="1" applyBorder="1" applyAlignment="1">
      <alignment horizontal="center" vertical="center"/>
    </xf>
    <xf numFmtId="181" fontId="18" fillId="5" borderId="31" xfId="94" applyNumberFormat="1" applyFont="1" applyFill="1" applyBorder="1" applyAlignment="1">
      <alignment horizontal="center" vertical="center" wrapText="1"/>
    </xf>
    <xf numFmtId="172" fontId="18" fillId="5" borderId="31" xfId="94" applyFont="1" applyFill="1" applyBorder="1" applyAlignment="1">
      <alignment horizontal="left" vertical="center" wrapText="1"/>
    </xf>
    <xf numFmtId="172" fontId="18" fillId="5" borderId="31" xfId="94" applyFont="1" applyFill="1" applyBorder="1" applyAlignment="1">
      <alignment horizontal="center" vertical="center" wrapText="1"/>
    </xf>
    <xf numFmtId="172" fontId="17" fillId="39" borderId="34" xfId="94" applyFont="1" applyFill="1" applyBorder="1" applyAlignment="1">
      <alignment horizontal="center" vertical="center" wrapText="1"/>
    </xf>
    <xf numFmtId="172" fontId="18" fillId="0" borderId="72" xfId="94" applyFont="1" applyFill="1" applyBorder="1" applyAlignment="1">
      <alignment horizontal="center" vertical="center" wrapText="1"/>
    </xf>
    <xf numFmtId="3" fontId="18" fillId="2" borderId="33" xfId="28" applyNumberFormat="1" applyFont="1" applyFill="1" applyBorder="1" applyAlignment="1">
      <alignment horizontal="left" vertical="center" wrapText="1"/>
    </xf>
    <xf numFmtId="3" fontId="18" fillId="2" borderId="33" xfId="94" applyNumberFormat="1" applyFont="1" applyFill="1" applyBorder="1" applyAlignment="1">
      <alignment horizontal="left" vertical="center" wrapText="1"/>
    </xf>
    <xf numFmtId="3" fontId="18" fillId="2" borderId="33" xfId="94" applyNumberFormat="1" applyFont="1" applyFill="1" applyBorder="1" applyAlignment="1">
      <alignment horizontal="center" vertical="center" wrapText="1"/>
    </xf>
    <xf numFmtId="170" fontId="18" fillId="2" borderId="33" xfId="25" applyNumberFormat="1" applyFont="1" applyFill="1" applyBorder="1" applyAlignment="1">
      <alignment vertical="center" wrapText="1"/>
    </xf>
    <xf numFmtId="9" fontId="18" fillId="0" borderId="33" xfId="22" applyFont="1" applyBorder="1" applyAlignment="1">
      <alignment horizontal="center" vertical="center"/>
    </xf>
    <xf numFmtId="170" fontId="18" fillId="2" borderId="33" xfId="25" applyNumberFormat="1" applyFont="1" applyFill="1" applyBorder="1" applyAlignment="1">
      <alignment horizontal="center" vertical="center"/>
    </xf>
    <xf numFmtId="181" fontId="18" fillId="0" borderId="33" xfId="94" applyNumberFormat="1" applyFont="1" applyFill="1" applyBorder="1" applyAlignment="1">
      <alignment horizontal="left" vertical="center" wrapText="1"/>
    </xf>
    <xf numFmtId="172" fontId="22" fillId="0" borderId="0" xfId="110" applyFont="1" applyBorder="1" applyAlignment="1">
      <alignment horizontal="center" vertical="center"/>
    </xf>
    <xf numFmtId="170" fontId="17" fillId="5" borderId="31" xfId="94" applyNumberFormat="1" applyFont="1" applyFill="1" applyBorder="1" applyAlignment="1">
      <alignment horizontal="center" vertical="center" wrapText="1"/>
    </xf>
    <xf numFmtId="172" fontId="18" fillId="0" borderId="0" xfId="94" applyFont="1" applyBorder="1" applyAlignment="1">
      <alignment horizontal="center" vertical="center"/>
    </xf>
    <xf numFmtId="172" fontId="18" fillId="0" borderId="5" xfId="94" applyFont="1" applyFill="1" applyBorder="1" applyAlignment="1">
      <alignment horizontal="center" vertical="center" wrapText="1"/>
    </xf>
    <xf numFmtId="172" fontId="18" fillId="0" borderId="0" xfId="94" applyFont="1" applyFill="1" applyBorder="1" applyAlignment="1">
      <alignment horizontal="left" vertical="center" wrapText="1"/>
    </xf>
    <xf numFmtId="172" fontId="18" fillId="0" borderId="0" xfId="94" applyFont="1" applyFill="1" applyBorder="1" applyAlignment="1">
      <alignment horizontal="center" vertical="center" wrapText="1"/>
    </xf>
    <xf numFmtId="170" fontId="18" fillId="0" borderId="0" xfId="25" applyNumberFormat="1" applyFont="1" applyFill="1" applyBorder="1" applyAlignment="1">
      <alignment horizontal="center" vertical="center" wrapText="1"/>
    </xf>
    <xf numFmtId="181" fontId="18" fillId="0" borderId="0" xfId="94" applyNumberFormat="1" applyFont="1" applyFill="1" applyBorder="1" applyAlignment="1">
      <alignment horizontal="center" vertical="center" wrapText="1"/>
    </xf>
    <xf numFmtId="170" fontId="17" fillId="39" borderId="33" xfId="25" applyNumberFormat="1" applyFont="1" applyFill="1" applyBorder="1" applyAlignment="1">
      <alignment horizontal="center" vertical="center" wrapText="1"/>
    </xf>
    <xf numFmtId="181" fontId="17" fillId="39" borderId="37" xfId="94" applyNumberFormat="1" applyFont="1" applyFill="1" applyBorder="1" applyAlignment="1">
      <alignment horizontal="center" vertical="center" wrapText="1"/>
    </xf>
    <xf numFmtId="9" fontId="18" fillId="2" borderId="33" xfId="22" applyFont="1" applyFill="1" applyBorder="1" applyAlignment="1">
      <alignment horizontal="center" vertical="center"/>
    </xf>
    <xf numFmtId="172" fontId="18" fillId="0" borderId="33" xfId="94" applyFont="1" applyBorder="1" applyAlignment="1">
      <alignment horizontal="center" vertical="center"/>
    </xf>
    <xf numFmtId="172" fontId="18" fillId="2" borderId="37" xfId="94" applyFont="1" applyFill="1" applyBorder="1" applyAlignment="1">
      <alignment horizontal="center" vertical="center" wrapText="1"/>
    </xf>
    <xf numFmtId="172" fontId="18" fillId="2" borderId="81" xfId="94" applyFont="1" applyFill="1" applyBorder="1" applyAlignment="1">
      <alignment horizontal="center" vertical="center" wrapText="1"/>
    </xf>
    <xf numFmtId="172" fontId="18" fillId="2" borderId="34" xfId="94" applyFont="1" applyFill="1" applyBorder="1" applyAlignment="1">
      <alignment vertical="center" wrapText="1"/>
    </xf>
    <xf numFmtId="3" fontId="18" fillId="2" borderId="34" xfId="28" applyNumberFormat="1" applyFont="1" applyFill="1" applyBorder="1" applyAlignment="1">
      <alignment vertical="center" wrapText="1"/>
    </xf>
    <xf numFmtId="172" fontId="18" fillId="2" borderId="34" xfId="94" applyFont="1" applyFill="1" applyBorder="1" applyAlignment="1">
      <alignment horizontal="center" vertical="center" wrapText="1"/>
    </xf>
    <xf numFmtId="170" fontId="18" fillId="2" borderId="34" xfId="25" applyNumberFormat="1" applyFont="1" applyFill="1" applyBorder="1" applyAlignment="1">
      <alignment vertical="center" wrapText="1"/>
    </xf>
    <xf numFmtId="17" fontId="22" fillId="2" borderId="82" xfId="135" applyNumberFormat="1" applyFont="1" applyFill="1" applyBorder="1" applyAlignment="1">
      <alignment horizontal="center" vertical="center"/>
    </xf>
    <xf numFmtId="170" fontId="16" fillId="5" borderId="33" xfId="110" applyNumberFormat="1" applyFont="1" applyFill="1" applyBorder="1" applyAlignment="1">
      <alignment horizontal="left" vertical="center"/>
    </xf>
    <xf numFmtId="172" fontId="22" fillId="5" borderId="33" xfId="110" applyFont="1" applyFill="1" applyBorder="1" applyAlignment="1">
      <alignment horizontal="center" vertical="center"/>
    </xf>
    <xf numFmtId="181" fontId="22" fillId="5" borderId="33" xfId="110" applyNumberFormat="1" applyFont="1" applyFill="1" applyBorder="1" applyAlignment="1">
      <alignment horizontal="center" vertical="center"/>
    </xf>
    <xf numFmtId="181" fontId="22" fillId="5" borderId="37" xfId="110" applyNumberFormat="1" applyFont="1" applyFill="1" applyBorder="1" applyAlignment="1">
      <alignment horizontal="center" vertical="center"/>
    </xf>
    <xf numFmtId="3" fontId="18" fillId="0" borderId="0" xfId="28" applyNumberFormat="1" applyFont="1" applyFill="1" applyBorder="1" applyAlignment="1">
      <alignment horizontal="left" vertical="center" wrapText="1"/>
    </xf>
    <xf numFmtId="3" fontId="18" fillId="0" borderId="0" xfId="94" applyNumberFormat="1" applyFont="1" applyFill="1" applyBorder="1" applyAlignment="1">
      <alignment horizontal="left" vertical="center" wrapText="1"/>
    </xf>
    <xf numFmtId="9" fontId="18" fillId="0" borderId="0" xfId="94" applyNumberFormat="1" applyFont="1" applyFill="1" applyBorder="1" applyAlignment="1">
      <alignment horizontal="center" vertical="center" wrapText="1"/>
    </xf>
    <xf numFmtId="14" fontId="18" fillId="0" borderId="0" xfId="94" applyNumberFormat="1" applyFont="1" applyFill="1" applyBorder="1" applyAlignment="1">
      <alignment horizontal="center" vertical="center" wrapText="1"/>
    </xf>
    <xf numFmtId="172" fontId="18" fillId="0" borderId="0" xfId="110" applyFont="1" applyAlignment="1">
      <alignment horizontal="center" vertical="center"/>
    </xf>
    <xf numFmtId="3" fontId="18" fillId="2" borderId="34" xfId="94" applyNumberFormat="1" applyFont="1" applyFill="1" applyBorder="1" applyAlignment="1">
      <alignment horizontal="center" vertical="center" wrapText="1"/>
    </xf>
    <xf numFmtId="9" fontId="18" fillId="2" borderId="34" xfId="94" applyNumberFormat="1" applyFont="1" applyFill="1" applyBorder="1" applyAlignment="1">
      <alignment horizontal="center" vertical="center" wrapText="1"/>
    </xf>
    <xf numFmtId="9" fontId="18" fillId="2" borderId="34" xfId="22" applyFont="1" applyFill="1" applyBorder="1" applyAlignment="1">
      <alignment horizontal="center" vertical="center"/>
    </xf>
    <xf numFmtId="170" fontId="18" fillId="2" borderId="34" xfId="25" applyNumberFormat="1" applyFont="1" applyFill="1" applyBorder="1" applyAlignment="1">
      <alignment horizontal="center" vertical="center"/>
    </xf>
    <xf numFmtId="170" fontId="18" fillId="2" borderId="84" xfId="25" applyNumberFormat="1" applyFont="1" applyFill="1" applyBorder="1" applyAlignment="1">
      <alignment horizontal="center" vertical="center"/>
    </xf>
    <xf numFmtId="17" fontId="22" fillId="2" borderId="85" xfId="135" applyNumberFormat="1" applyFont="1" applyFill="1" applyBorder="1" applyAlignment="1">
      <alignment horizontal="center" vertical="center"/>
    </xf>
    <xf numFmtId="17" fontId="22" fillId="2" borderId="86" xfId="135" applyNumberFormat="1" applyFont="1" applyFill="1" applyBorder="1" applyAlignment="1">
      <alignment horizontal="center" vertical="center"/>
    </xf>
    <xf numFmtId="17" fontId="22" fillId="2" borderId="87" xfId="135" applyNumberFormat="1" applyFont="1" applyFill="1" applyBorder="1" applyAlignment="1">
      <alignment horizontal="center" vertical="center"/>
    </xf>
    <xf numFmtId="172" fontId="22" fillId="0" borderId="2" xfId="110" applyFont="1" applyFill="1" applyBorder="1" applyAlignment="1">
      <alignment horizontal="center" vertical="center"/>
    </xf>
    <xf numFmtId="172" fontId="18" fillId="0" borderId="0" xfId="110" applyFont="1" applyAlignment="1">
      <alignment horizontal="left" vertical="center" wrapText="1"/>
    </xf>
    <xf numFmtId="172" fontId="18" fillId="0" borderId="0" xfId="110" applyFont="1" applyAlignment="1">
      <alignment horizontal="left" vertical="center"/>
    </xf>
    <xf numFmtId="181" fontId="18" fillId="0" borderId="0" xfId="110" applyNumberFormat="1" applyFont="1" applyAlignment="1">
      <alignment horizontal="center" vertical="center"/>
    </xf>
    <xf numFmtId="170" fontId="17" fillId="39" borderId="38" xfId="25" applyNumberFormat="1" applyFont="1" applyFill="1" applyBorder="1" applyAlignment="1">
      <alignment horizontal="center" vertical="center" wrapText="1"/>
    </xf>
    <xf numFmtId="172" fontId="17" fillId="39" borderId="38" xfId="94" applyFont="1" applyFill="1" applyBorder="1" applyAlignment="1">
      <alignment horizontal="center" vertical="center" wrapText="1"/>
    </xf>
    <xf numFmtId="181" fontId="17" fillId="39" borderId="38" xfId="94" applyNumberFormat="1" applyFont="1" applyFill="1" applyBorder="1" applyAlignment="1">
      <alignment horizontal="center" vertical="center" wrapText="1"/>
    </xf>
    <xf numFmtId="172" fontId="18" fillId="2" borderId="72" xfId="94" applyFont="1" applyFill="1" applyBorder="1" applyAlignment="1">
      <alignment horizontal="center" vertical="center" wrapText="1"/>
    </xf>
    <xf numFmtId="3" fontId="18" fillId="2" borderId="38" xfId="94" applyNumberFormat="1" applyFont="1" applyFill="1" applyBorder="1" applyAlignment="1">
      <alignment horizontal="left" vertical="center" wrapText="1"/>
    </xf>
    <xf numFmtId="172" fontId="18" fillId="2" borderId="38" xfId="94" applyFont="1" applyFill="1" applyBorder="1" applyAlignment="1">
      <alignment horizontal="center" vertical="center" wrapText="1"/>
    </xf>
    <xf numFmtId="170" fontId="18" fillId="2" borderId="38" xfId="25" applyNumberFormat="1" applyFont="1" applyFill="1" applyBorder="1" applyAlignment="1">
      <alignment vertical="center" wrapText="1"/>
    </xf>
    <xf numFmtId="9" fontId="18" fillId="2" borderId="38" xfId="94" applyNumberFormat="1" applyFont="1" applyFill="1" applyBorder="1" applyAlignment="1">
      <alignment vertical="center" wrapText="1"/>
    </xf>
    <xf numFmtId="9" fontId="18" fillId="2" borderId="38" xfId="22" applyFont="1" applyFill="1" applyBorder="1" applyAlignment="1">
      <alignment horizontal="center" vertical="center"/>
    </xf>
    <xf numFmtId="17" fontId="22" fillId="0" borderId="38" xfId="135" applyNumberFormat="1" applyFont="1" applyBorder="1" applyAlignment="1">
      <alignment horizontal="center" vertical="center"/>
    </xf>
    <xf numFmtId="172" fontId="18" fillId="5" borderId="3" xfId="94" applyFont="1" applyFill="1" applyBorder="1" applyAlignment="1">
      <alignment horizontal="center" vertical="center" wrapText="1"/>
    </xf>
    <xf numFmtId="170" fontId="16" fillId="5" borderId="38" xfId="110" applyNumberFormat="1" applyFont="1" applyFill="1" applyBorder="1" applyAlignment="1">
      <alignment horizontal="center" vertical="center"/>
    </xf>
    <xf numFmtId="172" fontId="22" fillId="5" borderId="38" xfId="110" applyFont="1" applyFill="1" applyBorder="1" applyAlignment="1">
      <alignment horizontal="center" vertical="center"/>
    </xf>
    <xf numFmtId="181" fontId="22" fillId="5" borderId="38" xfId="110" applyNumberFormat="1" applyFont="1" applyFill="1" applyBorder="1" applyAlignment="1">
      <alignment horizontal="center" vertical="center"/>
    </xf>
    <xf numFmtId="172" fontId="22" fillId="0" borderId="0" xfId="110" applyFont="1" applyFill="1" applyAlignment="1">
      <alignment horizontal="center" vertical="center"/>
    </xf>
    <xf numFmtId="172" fontId="18" fillId="2" borderId="90" xfId="94" applyFont="1" applyFill="1" applyBorder="1" applyAlignment="1">
      <alignment vertical="center" wrapText="1"/>
    </xf>
    <xf numFmtId="3" fontId="18" fillId="2" borderId="74" xfId="94" applyNumberFormat="1" applyFont="1" applyFill="1" applyBorder="1" applyAlignment="1">
      <alignment vertical="center" wrapText="1"/>
    </xf>
    <xf numFmtId="3" fontId="18" fillId="2" borderId="91" xfId="94" applyNumberFormat="1" applyFont="1" applyFill="1" applyBorder="1" applyAlignment="1">
      <alignment vertical="center" wrapText="1"/>
    </xf>
    <xf numFmtId="170" fontId="18" fillId="2" borderId="92" xfId="25" applyNumberFormat="1" applyFont="1" applyFill="1" applyBorder="1" applyAlignment="1">
      <alignment vertical="center" wrapText="1"/>
    </xf>
    <xf numFmtId="9" fontId="18" fillId="2" borderId="92" xfId="94" applyNumberFormat="1" applyFont="1" applyFill="1" applyBorder="1" applyAlignment="1">
      <alignment vertical="center" wrapText="1"/>
    </xf>
    <xf numFmtId="9" fontId="18" fillId="2" borderId="92" xfId="22" applyFont="1" applyFill="1" applyBorder="1" applyAlignment="1">
      <alignment vertical="center"/>
    </xf>
    <xf numFmtId="170" fontId="18" fillId="2" borderId="92" xfId="25" applyNumberFormat="1" applyFont="1" applyFill="1" applyBorder="1" applyAlignment="1">
      <alignment vertical="center"/>
    </xf>
    <xf numFmtId="170" fontId="18" fillId="2" borderId="87" xfId="25" applyNumberFormat="1" applyFont="1" applyFill="1" applyBorder="1" applyAlignment="1">
      <alignment vertical="center"/>
    </xf>
    <xf numFmtId="17" fontId="22" fillId="2" borderId="93" xfId="135" applyNumberFormat="1" applyFont="1" applyFill="1" applyBorder="1" applyAlignment="1">
      <alignment horizontal="center" vertical="center"/>
    </xf>
    <xf numFmtId="172" fontId="18" fillId="2" borderId="88" xfId="94" applyFont="1" applyFill="1" applyBorder="1" applyAlignment="1">
      <alignment vertical="center" wrapText="1"/>
    </xf>
    <xf numFmtId="172" fontId="18" fillId="2" borderId="89" xfId="94" applyFont="1" applyFill="1" applyBorder="1" applyAlignment="1">
      <alignment vertical="center" wrapText="1"/>
    </xf>
    <xf numFmtId="170" fontId="16" fillId="5" borderId="38" xfId="110" applyNumberFormat="1" applyFont="1" applyFill="1" applyBorder="1" applyAlignment="1">
      <alignment horizontal="left" vertical="center"/>
    </xf>
    <xf numFmtId="170" fontId="18" fillId="2" borderId="38" xfId="94" applyNumberFormat="1" applyFont="1" applyFill="1" applyBorder="1" applyAlignment="1">
      <alignment vertical="center" wrapText="1"/>
    </xf>
    <xf numFmtId="9" fontId="18" fillId="2" borderId="38" xfId="22" applyFont="1" applyFill="1" applyBorder="1" applyAlignment="1">
      <alignment horizontal="center" vertical="center" wrapText="1"/>
    </xf>
    <xf numFmtId="170" fontId="16" fillId="2" borderId="38" xfId="25" applyNumberFormat="1" applyFont="1" applyFill="1" applyBorder="1" applyAlignment="1">
      <alignment horizontal="center" vertical="center"/>
    </xf>
    <xf numFmtId="9" fontId="16" fillId="2" borderId="38" xfId="22" applyFont="1" applyFill="1" applyBorder="1" applyAlignment="1">
      <alignment horizontal="center" vertical="center"/>
    </xf>
    <xf numFmtId="41" fontId="16" fillId="0" borderId="0" xfId="0" applyNumberFormat="1" applyFont="1" applyAlignment="1"/>
    <xf numFmtId="17" fontId="27" fillId="2" borderId="33" xfId="134" applyNumberFormat="1" applyFont="1" applyFill="1" applyBorder="1" applyAlignment="1">
      <alignment horizontal="center" vertical="center"/>
    </xf>
    <xf numFmtId="172" fontId="18" fillId="2" borderId="83" xfId="94" applyFont="1" applyFill="1" applyBorder="1" applyAlignment="1">
      <alignment horizontal="center" vertical="center" wrapText="1"/>
    </xf>
    <xf numFmtId="173" fontId="27" fillId="2" borderId="40" xfId="31" applyNumberFormat="1" applyFont="1" applyFill="1" applyBorder="1" applyAlignment="1">
      <alignment horizontal="center" vertical="center" wrapText="1"/>
    </xf>
    <xf numFmtId="172" fontId="27" fillId="2" borderId="39" xfId="30" applyFont="1" applyFill="1" applyBorder="1" applyAlignment="1">
      <alignment horizontal="center" vertical="center"/>
    </xf>
    <xf numFmtId="172" fontId="18" fillId="2" borderId="40" xfId="130" applyFont="1" applyFill="1" applyBorder="1" applyAlignment="1">
      <alignment horizontal="left" vertical="center" wrapText="1"/>
    </xf>
    <xf numFmtId="181" fontId="17" fillId="39" borderId="33" xfId="94" applyNumberFormat="1" applyFont="1" applyFill="1" applyBorder="1" applyAlignment="1">
      <alignment horizontal="center" vertical="center" wrapText="1"/>
    </xf>
    <xf numFmtId="172" fontId="14" fillId="0" borderId="0" xfId="106" applyFont="1" applyAlignment="1">
      <alignment vertical="center" wrapText="1"/>
    </xf>
    <xf numFmtId="17" fontId="14" fillId="0" borderId="0" xfId="106" applyNumberFormat="1" applyFont="1" applyAlignment="1">
      <alignment horizontal="center" vertical="center" wrapText="1"/>
    </xf>
    <xf numFmtId="41" fontId="14" fillId="0" borderId="0" xfId="59" applyNumberFormat="1" applyFont="1" applyAlignment="1">
      <alignment horizontal="right" vertical="center" wrapText="1"/>
    </xf>
    <xf numFmtId="17" fontId="14" fillId="0" borderId="0" xfId="25" applyNumberFormat="1" applyFont="1" applyAlignment="1">
      <alignment horizontal="center" vertical="center" wrapText="1"/>
    </xf>
    <xf numFmtId="170" fontId="14" fillId="0" borderId="0" xfId="25" applyNumberFormat="1" applyFont="1" applyAlignment="1">
      <alignment horizontal="center" vertical="center" wrapText="1"/>
    </xf>
    <xf numFmtId="170" fontId="14" fillId="0" borderId="0" xfId="25" applyNumberFormat="1" applyFont="1" applyAlignment="1">
      <alignment horizontal="left" vertical="center" wrapText="1"/>
    </xf>
    <xf numFmtId="170" fontId="14" fillId="0" borderId="0" xfId="25" applyNumberFormat="1" applyFont="1" applyAlignment="1">
      <alignment horizontal="right" vertical="center" wrapText="1"/>
    </xf>
    <xf numFmtId="172" fontId="14" fillId="0" borderId="0" xfId="106" applyFont="1" applyAlignment="1">
      <alignment horizontal="center" vertical="center" wrapText="1"/>
    </xf>
    <xf numFmtId="172" fontId="50" fillId="0" borderId="0" xfId="87" applyFont="1" applyAlignment="1">
      <alignment horizontal="right"/>
    </xf>
    <xf numFmtId="172" fontId="21" fillId="6" borderId="94" xfId="106" applyFont="1" applyFill="1" applyBorder="1" applyAlignment="1">
      <alignment horizontal="right" vertical="center" wrapText="1"/>
    </xf>
    <xf numFmtId="172" fontId="21" fillId="6" borderId="94" xfId="106" applyFont="1" applyFill="1" applyBorder="1" applyAlignment="1">
      <alignment vertical="center" wrapText="1"/>
    </xf>
    <xf numFmtId="172" fontId="18" fillId="0" borderId="0" xfId="106" applyFont="1" applyAlignment="1">
      <alignment vertical="center" wrapText="1"/>
    </xf>
    <xf numFmtId="3" fontId="21" fillId="6" borderId="33" xfId="28" applyNumberFormat="1" applyFont="1" applyFill="1" applyBorder="1" applyAlignment="1">
      <alignment horizontal="left" vertical="center" wrapText="1"/>
    </xf>
    <xf numFmtId="17" fontId="21" fillId="6" borderId="94" xfId="137" applyNumberFormat="1" applyFont="1" applyFill="1" applyBorder="1" applyAlignment="1">
      <alignment horizontal="center" vertical="center" wrapText="1"/>
    </xf>
    <xf numFmtId="41" fontId="21" fillId="6" borderId="94" xfId="59" applyNumberFormat="1" applyFont="1" applyFill="1" applyBorder="1" applyAlignment="1">
      <alignment horizontal="center" vertical="center" wrapText="1"/>
    </xf>
    <xf numFmtId="170" fontId="21" fillId="6" borderId="94" xfId="25" applyNumberFormat="1" applyFont="1" applyFill="1" applyBorder="1" applyAlignment="1">
      <alignment horizontal="center" vertical="center" wrapText="1"/>
    </xf>
    <xf numFmtId="3" fontId="21" fillId="6" borderId="94" xfId="28" applyNumberFormat="1" applyFont="1" applyFill="1" applyBorder="1" applyAlignment="1">
      <alignment horizontal="center" vertical="center"/>
    </xf>
    <xf numFmtId="172" fontId="21" fillId="9" borderId="40" xfId="137" applyFont="1" applyFill="1" applyBorder="1" applyAlignment="1">
      <alignment horizontal="right" vertical="center" wrapText="1"/>
    </xf>
    <xf numFmtId="172" fontId="21" fillId="9" borderId="40" xfId="137" applyFont="1" applyFill="1" applyBorder="1" applyAlignment="1">
      <alignment vertical="center" wrapText="1"/>
    </xf>
    <xf numFmtId="172" fontId="21" fillId="9" borderId="40" xfId="137" applyFont="1" applyFill="1" applyBorder="1" applyAlignment="1">
      <alignment horizontal="center" vertical="center" wrapText="1"/>
    </xf>
    <xf numFmtId="172" fontId="21" fillId="9" borderId="40" xfId="137" applyFont="1" applyFill="1" applyBorder="1" applyAlignment="1">
      <alignment horizontal="left" vertical="center" wrapText="1"/>
    </xf>
    <xf numFmtId="0" fontId="16" fillId="5" borderId="40" xfId="137" applyNumberFormat="1" applyFont="1" applyFill="1" applyBorder="1" applyAlignment="1">
      <alignment horizontal="right" vertical="center" wrapText="1"/>
    </xf>
    <xf numFmtId="3" fontId="17" fillId="5" borderId="40" xfId="28" applyNumberFormat="1" applyFont="1" applyFill="1" applyBorder="1" applyAlignment="1">
      <alignment horizontal="left" vertical="center" wrapText="1"/>
    </xf>
    <xf numFmtId="172" fontId="22" fillId="0" borderId="40" xfId="137" applyFont="1" applyFill="1" applyBorder="1" applyAlignment="1">
      <alignment horizontal="right" vertical="center" wrapText="1"/>
    </xf>
    <xf numFmtId="0" fontId="22" fillId="2" borderId="40" xfId="31" applyFont="1" applyFill="1" applyBorder="1" applyAlignment="1">
      <alignment horizontal="center" vertical="center" wrapText="1"/>
    </xf>
    <xf numFmtId="0" fontId="22" fillId="2" borderId="40" xfId="31" applyFont="1" applyFill="1" applyBorder="1" applyAlignment="1">
      <alignment horizontal="left" vertical="center" wrapText="1"/>
    </xf>
    <xf numFmtId="172" fontId="18" fillId="0" borderId="0" xfId="106" applyFont="1" applyFill="1" applyAlignment="1">
      <alignment horizontal="right" vertical="center" wrapText="1"/>
    </xf>
    <xf numFmtId="2" fontId="22" fillId="2" borderId="40" xfId="136" applyNumberFormat="1" applyFont="1" applyFill="1" applyBorder="1" applyAlignment="1">
      <alignment horizontal="justify" vertical="center" wrapText="1"/>
    </xf>
    <xf numFmtId="172" fontId="14" fillId="6" borderId="0" xfId="106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5" fillId="7" borderId="25" xfId="0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/>
    </xf>
    <xf numFmtId="3" fontId="21" fillId="8" borderId="30" xfId="28" applyNumberFormat="1" applyFont="1" applyFill="1" applyBorder="1" applyAlignment="1">
      <alignment horizontal="center" vertical="center"/>
    </xf>
    <xf numFmtId="3" fontId="21" fillId="6" borderId="30" xfId="28" applyNumberFormat="1" applyFont="1" applyFill="1" applyBorder="1" applyAlignment="1">
      <alignment horizontal="center" vertical="center"/>
    </xf>
    <xf numFmtId="3" fontId="21" fillId="8" borderId="30" xfId="28" applyNumberFormat="1" applyFont="1" applyFill="1" applyBorder="1" applyAlignment="1">
      <alignment horizontal="right" vertical="center" wrapText="1"/>
    </xf>
    <xf numFmtId="3" fontId="21" fillId="8" borderId="30" xfId="28" applyNumberFormat="1" applyFont="1" applyFill="1" applyBorder="1" applyAlignment="1">
      <alignment horizontal="center" vertical="center" wrapText="1"/>
    </xf>
    <xf numFmtId="17" fontId="21" fillId="8" borderId="30" xfId="28" applyNumberFormat="1" applyFont="1" applyFill="1" applyBorder="1" applyAlignment="1">
      <alignment horizontal="center" vertical="center" wrapText="1"/>
    </xf>
    <xf numFmtId="172" fontId="17" fillId="0" borderId="0" xfId="28" applyFont="1" applyAlignment="1">
      <alignment horizontal="center" vertical="center"/>
    </xf>
    <xf numFmtId="172" fontId="16" fillId="0" borderId="0" xfId="29" applyFont="1" applyAlignment="1">
      <alignment horizontal="center"/>
    </xf>
    <xf numFmtId="172" fontId="16" fillId="0" borderId="29" xfId="29" applyFont="1" applyBorder="1" applyAlignment="1">
      <alignment horizontal="center"/>
    </xf>
    <xf numFmtId="3" fontId="21" fillId="6" borderId="55" xfId="28" applyNumberFormat="1" applyFont="1" applyFill="1" applyBorder="1" applyAlignment="1">
      <alignment horizontal="center" vertical="center"/>
    </xf>
    <xf numFmtId="3" fontId="21" fillId="6" borderId="56" xfId="28" applyNumberFormat="1" applyFont="1" applyFill="1" applyBorder="1" applyAlignment="1">
      <alignment horizontal="center" vertical="center"/>
    </xf>
    <xf numFmtId="3" fontId="21" fillId="6" borderId="57" xfId="28" applyNumberFormat="1" applyFont="1" applyFill="1" applyBorder="1" applyAlignment="1">
      <alignment horizontal="center" vertical="center"/>
    </xf>
    <xf numFmtId="172" fontId="16" fillId="0" borderId="0" xfId="87" applyFont="1" applyAlignment="1">
      <alignment horizontal="center"/>
    </xf>
    <xf numFmtId="172" fontId="21" fillId="6" borderId="51" xfId="87" applyFont="1" applyFill="1" applyBorder="1" applyAlignment="1">
      <alignment horizontal="center" vertical="center" wrapText="1"/>
    </xf>
    <xf numFmtId="172" fontId="21" fillId="6" borderId="52" xfId="87" applyFont="1" applyFill="1" applyBorder="1" applyAlignment="1">
      <alignment horizontal="center" vertical="center" wrapText="1"/>
    </xf>
    <xf numFmtId="172" fontId="21" fillId="6" borderId="53" xfId="87" applyFont="1" applyFill="1" applyBorder="1" applyAlignment="1">
      <alignment horizontal="center" vertical="center" wrapText="1"/>
    </xf>
    <xf numFmtId="172" fontId="21" fillId="6" borderId="54" xfId="87" applyFont="1" applyFill="1" applyBorder="1" applyAlignment="1">
      <alignment horizontal="center" vertical="center" wrapText="1"/>
    </xf>
    <xf numFmtId="172" fontId="21" fillId="6" borderId="66" xfId="87" applyFont="1" applyFill="1" applyBorder="1" applyAlignment="1">
      <alignment horizontal="center" vertical="center" wrapText="1"/>
    </xf>
    <xf numFmtId="172" fontId="21" fillId="6" borderId="67" xfId="87" applyFont="1" applyFill="1" applyBorder="1" applyAlignment="1">
      <alignment horizontal="center" vertical="center" wrapText="1"/>
    </xf>
    <xf numFmtId="3" fontId="21" fillId="6" borderId="94" xfId="28" applyNumberFormat="1" applyFont="1" applyFill="1" applyBorder="1" applyAlignment="1">
      <alignment horizontal="center" vertical="center"/>
    </xf>
    <xf numFmtId="172" fontId="21" fillId="6" borderId="94" xfId="106" applyFont="1" applyFill="1" applyBorder="1" applyAlignment="1">
      <alignment horizontal="center" vertical="center" wrapText="1"/>
    </xf>
    <xf numFmtId="172" fontId="21" fillId="6" borderId="95" xfId="106" applyFont="1" applyFill="1" applyBorder="1" applyAlignment="1">
      <alignment horizontal="center" vertical="center" wrapText="1"/>
    </xf>
    <xf numFmtId="172" fontId="21" fillId="6" borderId="96" xfId="106" applyFont="1" applyFill="1" applyBorder="1" applyAlignment="1">
      <alignment horizontal="center" vertical="center" wrapText="1"/>
    </xf>
    <xf numFmtId="172" fontId="17" fillId="2" borderId="38" xfId="94" applyFont="1" applyFill="1" applyBorder="1" applyAlignment="1">
      <alignment horizontal="left" vertical="center" wrapText="1"/>
    </xf>
    <xf numFmtId="172" fontId="18" fillId="2" borderId="38" xfId="94" applyFont="1" applyFill="1" applyBorder="1" applyAlignment="1">
      <alignment horizontal="left" vertical="center" wrapText="1"/>
    </xf>
    <xf numFmtId="172" fontId="17" fillId="39" borderId="38" xfId="94" applyFont="1" applyFill="1" applyBorder="1" applyAlignment="1">
      <alignment horizontal="center" vertical="center" wrapText="1"/>
    </xf>
    <xf numFmtId="181" fontId="17" fillId="39" borderId="38" xfId="94" applyNumberFormat="1" applyFont="1" applyFill="1" applyBorder="1" applyAlignment="1">
      <alignment horizontal="center" vertical="center" wrapText="1"/>
    </xf>
    <xf numFmtId="172" fontId="16" fillId="5" borderId="38" xfId="110" applyFont="1" applyFill="1" applyBorder="1" applyAlignment="1">
      <alignment horizontal="right" vertical="center"/>
    </xf>
    <xf numFmtId="181" fontId="22" fillId="5" borderId="38" xfId="110" applyNumberFormat="1" applyFont="1" applyFill="1" applyBorder="1" applyAlignment="1">
      <alignment horizontal="center" vertical="center"/>
    </xf>
    <xf numFmtId="172" fontId="18" fillId="2" borderId="88" xfId="94" applyFont="1" applyFill="1" applyBorder="1" applyAlignment="1">
      <alignment horizontal="center" vertical="center" wrapText="1"/>
    </xf>
    <xf numFmtId="172" fontId="18" fillId="2" borderId="89" xfId="94" applyFont="1" applyFill="1" applyBorder="1" applyAlignment="1">
      <alignment horizontal="center" vertical="center" wrapText="1"/>
    </xf>
    <xf numFmtId="172" fontId="18" fillId="5" borderId="38" xfId="110" applyFont="1" applyFill="1" applyBorder="1" applyAlignment="1">
      <alignment horizontal="center" vertical="center"/>
    </xf>
    <xf numFmtId="172" fontId="17" fillId="39" borderId="38" xfId="94" applyFont="1" applyFill="1" applyBorder="1" applyAlignment="1">
      <alignment horizontal="left" vertical="center" wrapText="1"/>
    </xf>
    <xf numFmtId="172" fontId="17" fillId="39" borderId="38" xfId="94" applyFont="1" applyFill="1" applyBorder="1" applyAlignment="1">
      <alignment horizontal="center" vertical="center"/>
    </xf>
    <xf numFmtId="172" fontId="17" fillId="39" borderId="38" xfId="94" applyFont="1" applyFill="1" applyBorder="1" applyAlignment="1">
      <alignment vertical="center"/>
    </xf>
    <xf numFmtId="172" fontId="17" fillId="39" borderId="33" xfId="94" applyFont="1" applyFill="1" applyBorder="1" applyAlignment="1">
      <alignment horizontal="center" vertical="center" wrapText="1"/>
    </xf>
    <xf numFmtId="181" fontId="17" fillId="39" borderId="33" xfId="94" applyNumberFormat="1" applyFont="1" applyFill="1" applyBorder="1" applyAlignment="1">
      <alignment horizontal="center" vertical="center" wrapText="1"/>
    </xf>
    <xf numFmtId="172" fontId="17" fillId="39" borderId="33" xfId="94" applyFont="1" applyFill="1" applyBorder="1" applyAlignment="1">
      <alignment horizontal="center" vertical="center"/>
    </xf>
    <xf numFmtId="172" fontId="16" fillId="5" borderId="33" xfId="110" applyFont="1" applyFill="1" applyBorder="1" applyAlignment="1">
      <alignment horizontal="right" vertical="center"/>
    </xf>
    <xf numFmtId="172" fontId="17" fillId="39" borderId="33" xfId="94" applyFont="1" applyFill="1" applyBorder="1" applyAlignment="1">
      <alignment horizontal="left" vertical="center" wrapText="1"/>
    </xf>
    <xf numFmtId="181" fontId="22" fillId="5" borderId="37" xfId="110" applyNumberFormat="1" applyFont="1" applyFill="1" applyBorder="1" applyAlignment="1">
      <alignment horizontal="center" vertical="center"/>
    </xf>
    <xf numFmtId="181" fontId="22" fillId="5" borderId="83" xfId="110" applyNumberFormat="1" applyFont="1" applyFill="1" applyBorder="1" applyAlignment="1">
      <alignment horizontal="center" vertical="center"/>
    </xf>
    <xf numFmtId="172" fontId="17" fillId="39" borderId="33" xfId="94" applyFont="1" applyFill="1" applyBorder="1" applyAlignment="1">
      <alignment vertical="center"/>
    </xf>
    <xf numFmtId="172" fontId="17" fillId="39" borderId="37" xfId="94" applyFont="1" applyFill="1" applyBorder="1" applyAlignment="1">
      <alignment vertical="center"/>
    </xf>
    <xf numFmtId="172" fontId="17" fillId="39" borderId="74" xfId="94" applyFont="1" applyFill="1" applyBorder="1" applyAlignment="1">
      <alignment horizontal="center" vertical="center" wrapText="1"/>
    </xf>
    <xf numFmtId="172" fontId="17" fillId="39" borderId="75" xfId="94" applyFont="1" applyFill="1" applyBorder="1" applyAlignment="1">
      <alignment horizontal="center" vertical="center" wrapText="1"/>
    </xf>
    <xf numFmtId="172" fontId="17" fillId="39" borderId="76" xfId="94" applyFont="1" applyFill="1" applyBorder="1" applyAlignment="1">
      <alignment horizontal="center" vertical="center" wrapText="1"/>
    </xf>
    <xf numFmtId="172" fontId="17" fillId="39" borderId="77" xfId="94" applyFont="1" applyFill="1" applyBorder="1" applyAlignment="1">
      <alignment horizontal="center" vertical="center" wrapText="1"/>
    </xf>
    <xf numFmtId="172" fontId="18" fillId="2" borderId="78" xfId="94" applyFont="1" applyFill="1" applyBorder="1" applyAlignment="1">
      <alignment horizontal="left" vertical="center" wrapText="1"/>
    </xf>
    <xf numFmtId="172" fontId="18" fillId="2" borderId="79" xfId="94" applyFont="1" applyFill="1" applyBorder="1" applyAlignment="1">
      <alignment horizontal="left" vertical="center" wrapText="1"/>
    </xf>
    <xf numFmtId="172" fontId="17" fillId="5" borderId="31" xfId="94" applyFont="1" applyFill="1" applyBorder="1" applyAlignment="1">
      <alignment horizontal="right" vertical="center" wrapText="1"/>
    </xf>
    <xf numFmtId="172" fontId="17" fillId="39" borderId="73" xfId="94" applyFont="1" applyFill="1" applyBorder="1" applyAlignment="1">
      <alignment horizontal="center" vertical="center" wrapText="1"/>
    </xf>
    <xf numFmtId="172" fontId="17" fillId="39" borderId="0" xfId="94" applyFont="1" applyFill="1" applyBorder="1" applyAlignment="1">
      <alignment horizontal="center" vertical="center" wrapText="1"/>
    </xf>
    <xf numFmtId="172" fontId="17" fillId="39" borderId="34" xfId="94" applyFont="1" applyFill="1" applyBorder="1" applyAlignment="1">
      <alignment horizontal="center" vertical="center" wrapText="1"/>
    </xf>
    <xf numFmtId="172" fontId="17" fillId="39" borderId="31" xfId="94" applyFont="1" applyFill="1" applyBorder="1" applyAlignment="1">
      <alignment horizontal="center" vertical="center" wrapText="1"/>
    </xf>
    <xf numFmtId="172" fontId="18" fillId="2" borderId="80" xfId="94" applyFont="1" applyFill="1" applyBorder="1" applyAlignment="1">
      <alignment horizontal="left" vertical="center" wrapText="1"/>
    </xf>
    <xf numFmtId="172" fontId="18" fillId="2" borderId="81" xfId="94" applyFont="1" applyFill="1" applyBorder="1" applyAlignment="1">
      <alignment horizontal="left" vertical="center" wrapText="1"/>
    </xf>
    <xf numFmtId="172" fontId="17" fillId="5" borderId="33" xfId="94" applyFont="1" applyFill="1" applyBorder="1" applyAlignment="1">
      <alignment horizontal="right" vertical="center" wrapText="1"/>
    </xf>
    <xf numFmtId="172" fontId="17" fillId="39" borderId="34" xfId="94" applyFont="1" applyFill="1" applyBorder="1" applyAlignment="1">
      <alignment horizontal="left" vertical="center" wrapText="1"/>
    </xf>
    <xf numFmtId="172" fontId="17" fillId="39" borderId="34" xfId="94" applyFont="1" applyFill="1" applyBorder="1" applyAlignment="1">
      <alignment horizontal="center" vertical="center"/>
    </xf>
    <xf numFmtId="170" fontId="17" fillId="39" borderId="33" xfId="25" applyNumberFormat="1" applyFont="1" applyFill="1" applyBorder="1" applyAlignment="1">
      <alignment horizontal="center" vertical="center" wrapText="1"/>
    </xf>
    <xf numFmtId="172" fontId="17" fillId="39" borderId="34" xfId="94" applyFont="1" applyFill="1" applyBorder="1" applyAlignment="1">
      <alignment vertical="center"/>
    </xf>
    <xf numFmtId="172" fontId="21" fillId="38" borderId="69" xfId="94" applyFont="1" applyFill="1" applyBorder="1" applyAlignment="1">
      <alignment horizontal="center" vertical="center" wrapText="1"/>
    </xf>
    <xf numFmtId="172" fontId="28" fillId="38" borderId="70" xfId="94" applyFont="1" applyFill="1" applyBorder="1" applyAlignment="1">
      <alignment vertical="center"/>
    </xf>
    <xf numFmtId="172" fontId="28" fillId="38" borderId="71" xfId="94" applyFont="1" applyFill="1" applyBorder="1" applyAlignment="1">
      <alignment vertical="center"/>
    </xf>
    <xf numFmtId="172" fontId="17" fillId="39" borderId="31" xfId="94" applyFont="1" applyFill="1" applyBorder="1" applyAlignment="1">
      <alignment vertical="center"/>
    </xf>
    <xf numFmtId="3" fontId="15" fillId="36" borderId="16" xfId="95" applyNumberFormat="1" applyFont="1" applyFill="1" applyBorder="1" applyAlignment="1">
      <alignment horizontal="center"/>
    </xf>
    <xf numFmtId="3" fontId="15" fillId="36" borderId="6" xfId="95" applyNumberFormat="1" applyFont="1" applyFill="1" applyBorder="1" applyAlignment="1">
      <alignment horizontal="center"/>
    </xf>
    <xf numFmtId="0" fontId="46" fillId="0" borderId="0" xfId="95" applyFont="1" applyAlignment="1">
      <alignment horizontal="center" wrapText="1"/>
    </xf>
    <xf numFmtId="9" fontId="15" fillId="0" borderId="0" xfId="95" applyNumberFormat="1" applyFont="1" applyAlignment="1">
      <alignment horizontal="center" vertical="center" wrapText="1"/>
    </xf>
    <xf numFmtId="0" fontId="46" fillId="0" borderId="0" xfId="95" applyFont="1" applyAlignment="1">
      <alignment horizontal="left"/>
    </xf>
    <xf numFmtId="3" fontId="46" fillId="0" borderId="0" xfId="95" applyNumberFormat="1" applyFont="1" applyAlignment="1">
      <alignment horizontal="left"/>
    </xf>
    <xf numFmtId="180" fontId="48" fillId="0" borderId="0" xfId="95" applyNumberFormat="1" applyFont="1" applyAlignment="1">
      <alignment horizontal="center"/>
    </xf>
  </cellXfs>
  <cellStyles count="139"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Cabecera 1" xfId="1"/>
    <cellStyle name="Cabecera 2" xfId="2"/>
    <cellStyle name="Calculation 2" xfId="57"/>
    <cellStyle name="Check Cell 2" xfId="58"/>
    <cellStyle name="Comma" xfId="136" builtinId="3"/>
    <cellStyle name="Comma [0] 2" xfId="59"/>
    <cellStyle name="Comma 2" xfId="25"/>
    <cellStyle name="Comma 3" xfId="60"/>
    <cellStyle name="Comma 4" xfId="61"/>
    <cellStyle name="Euro" xfId="3"/>
    <cellStyle name="Euro 2" xfId="4"/>
    <cellStyle name="Explanatory Text 2" xfId="62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echa" xfId="12"/>
    <cellStyle name="Fijo" xfId="13"/>
    <cellStyle name="Good 2" xfId="63"/>
    <cellStyle name="Heading 1 2" xfId="64"/>
    <cellStyle name="Heading 2 2" xfId="65"/>
    <cellStyle name="Heading 3 2" xfId="66"/>
    <cellStyle name="Heading 4 2" xfId="67"/>
    <cellStyle name="Heading1" xfId="14"/>
    <cellStyle name="Heading2" xfId="15"/>
    <cellStyle name="Input 2" xfId="68"/>
    <cellStyle name="Linked Cell 2" xfId="69"/>
    <cellStyle name="Millares [0] 2" xfId="16"/>
    <cellStyle name="Millares [0] 2 2" xfId="70"/>
    <cellStyle name="Millares [0] 3" xfId="71"/>
    <cellStyle name="Millares 2" xfId="17"/>
    <cellStyle name="Millares 3" xfId="18"/>
    <cellStyle name="Millares 3 2" xfId="72"/>
    <cellStyle name="Millares 4" xfId="73"/>
    <cellStyle name="Millares 4 2" xfId="74"/>
    <cellStyle name="Millares 5" xfId="75"/>
    <cellStyle name="Millares 5 2" xfId="76"/>
    <cellStyle name="Millares 5 3" xfId="77"/>
    <cellStyle name="Millares 6" xfId="78"/>
    <cellStyle name="Moneda 2" xfId="79"/>
    <cellStyle name="Moneda 2 2" xfId="80"/>
    <cellStyle name="Moneda 2 3" xfId="81"/>
    <cellStyle name="Monetario" xfId="19"/>
    <cellStyle name="Monetario0" xfId="20"/>
    <cellStyle name="Neutral 2" xfId="82"/>
    <cellStyle name="Normal" xfId="0" builtinId="0"/>
    <cellStyle name="Normal 10" xfId="83"/>
    <cellStyle name="Normal 10 2" xfId="84"/>
    <cellStyle name="Normal 10 2 2" xfId="85"/>
    <cellStyle name="Normal 10 3" xfId="86"/>
    <cellStyle name="Normal 11" xfId="87"/>
    <cellStyle name="Normal 12" xfId="88"/>
    <cellStyle name="Normal 13" xfId="31"/>
    <cellStyle name="Normal 14" xfId="89"/>
    <cellStyle name="Normal 14 2" xfId="90"/>
    <cellStyle name="Normal 15" xfId="91"/>
    <cellStyle name="Normal 16" xfId="92"/>
    <cellStyle name="Normal 2" xfId="21"/>
    <cellStyle name="Normal 2 2" xfId="93"/>
    <cellStyle name="Normal 2 2 2" xfId="94"/>
    <cellStyle name="Normal 2 3" xfId="95"/>
    <cellStyle name="Normal 2_POA 18 meses" xfId="96"/>
    <cellStyle name="Normal 3" xfId="26"/>
    <cellStyle name="Normal 3 2" xfId="97"/>
    <cellStyle name="Normal 3 2 2" xfId="98"/>
    <cellStyle name="Normal 4" xfId="29"/>
    <cellStyle name="Normal 4 2" xfId="99"/>
    <cellStyle name="Normal 4 3" xfId="100"/>
    <cellStyle name="Normal 5" xfId="101"/>
    <cellStyle name="Normal 5 2" xfId="102"/>
    <cellStyle name="Normal 5 2 2" xfId="103"/>
    <cellStyle name="Normal 5 3" xfId="104"/>
    <cellStyle name="Normal 6" xfId="105"/>
    <cellStyle name="Normal 7" xfId="27"/>
    <cellStyle name="Normal 7 2" xfId="28"/>
    <cellStyle name="Normal 7 3" xfId="106"/>
    <cellStyle name="Normal 8" xfId="107"/>
    <cellStyle name="Normal 8 2" xfId="108"/>
    <cellStyle name="Normal 9" xfId="109"/>
    <cellStyle name="Normal 9 2" xfId="110"/>
    <cellStyle name="Normal 9 2 2" xfId="111"/>
    <cellStyle name="Normal 9 3" xfId="112"/>
    <cellStyle name="Normal_9. PA" xfId="135"/>
    <cellStyle name="Normal_PA_1" xfId="134"/>
    <cellStyle name="Normal_PEP" xfId="30"/>
    <cellStyle name="Normal_PEP 2" xfId="130"/>
    <cellStyle name="Normal_PEP 3" xfId="131"/>
    <cellStyle name="Normal_PEP 3 2" xfId="137"/>
    <cellStyle name="Normal_PEP 4" xfId="133"/>
    <cellStyle name="Note 2" xfId="113"/>
    <cellStyle name="Output 2" xfId="114"/>
    <cellStyle name="Percent" xfId="132" builtinId="5"/>
    <cellStyle name="Porcentaje" xfId="138"/>
    <cellStyle name="Porcentaje 2" xfId="22"/>
    <cellStyle name="Porcentaje 2 2" xfId="115"/>
    <cellStyle name="Porcentaje 3" xfId="116"/>
    <cellStyle name="Porcentual 2" xfId="117"/>
    <cellStyle name="Porcentual 2 2" xfId="118"/>
    <cellStyle name="Porcentual 2 3" xfId="119"/>
    <cellStyle name="Porcentual 3" xfId="120"/>
    <cellStyle name="Porcentual 4" xfId="121"/>
    <cellStyle name="Porcentual 5" xfId="122"/>
    <cellStyle name="Porcentual 6" xfId="123"/>
    <cellStyle name="Porcentual 6 2" xfId="124"/>
    <cellStyle name="Porcentual 7" xfId="125"/>
    <cellStyle name="Porcentual 7 2" xfId="126"/>
    <cellStyle name="Punto" xfId="23"/>
    <cellStyle name="Punto0" xfId="24"/>
    <cellStyle name="Title 2" xfId="127"/>
    <cellStyle name="Total 2" xfId="128"/>
    <cellStyle name="Warning Text 2" xfId="129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5985025424074626"/>
          <c:h val="0.73421052631578965"/>
        </c:manualLayout>
      </c:layout>
      <c:scatterChart>
        <c:scatterStyle val="smoothMarker"/>
        <c:varyColors val="0"/>
        <c:ser>
          <c:idx val="0"/>
          <c:order val="0"/>
          <c:tx>
            <c:v>Avance Fisico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'Ñumi SJN'!$A$18:$A$36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'Ñumi SJN'!$C$18:$C$36</c:f>
              <c:numCache>
                <c:formatCode>0.00%</c:formatCode>
                <c:ptCount val="19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</c:numCache>
            </c:numRef>
          </c:yVal>
          <c:smooth val="1"/>
        </c:ser>
        <c:ser>
          <c:idx val="1"/>
          <c:order val="1"/>
          <c:tx>
            <c:v>Avance Financiero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'Ñumi SJN'!$A$18:$A$36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'Ñumi SJN'!$F$18:$F$36</c:f>
              <c:numCache>
                <c:formatCode>0.00%</c:formatCode>
                <c:ptCount val="19"/>
                <c:pt idx="0">
                  <c:v>0.2</c:v>
                </c:pt>
                <c:pt idx="1">
                  <c:v>0.22</c:v>
                </c:pt>
                <c:pt idx="2">
                  <c:v>0.24399999999999999</c:v>
                </c:pt>
                <c:pt idx="3">
                  <c:v>0.27200000000000002</c:v>
                </c:pt>
                <c:pt idx="4">
                  <c:v>0.3</c:v>
                </c:pt>
                <c:pt idx="5">
                  <c:v>0.33200000000000002</c:v>
                </c:pt>
                <c:pt idx="6">
                  <c:v>0.36799999999999999</c:v>
                </c:pt>
                <c:pt idx="7">
                  <c:v>0.40400000000000003</c:v>
                </c:pt>
                <c:pt idx="8">
                  <c:v>0.44400000000000001</c:v>
                </c:pt>
                <c:pt idx="9">
                  <c:v>0.48799999999999999</c:v>
                </c:pt>
                <c:pt idx="10">
                  <c:v>0.53200000000000003</c:v>
                </c:pt>
                <c:pt idx="11">
                  <c:v>0.57599999999999996</c:v>
                </c:pt>
                <c:pt idx="12">
                  <c:v>0.624</c:v>
                </c:pt>
                <c:pt idx="13">
                  <c:v>0.68</c:v>
                </c:pt>
                <c:pt idx="14">
                  <c:v>0.73599999999999999</c:v>
                </c:pt>
                <c:pt idx="15">
                  <c:v>0.78800000000000003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159552"/>
        <c:axId val="235160320"/>
      </c:scatterChart>
      <c:valAx>
        <c:axId val="235159552"/>
        <c:scaling>
          <c:orientation val="minMax"/>
          <c:max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160320"/>
        <c:crosses val="autoZero"/>
        <c:crossBetween val="midCat"/>
        <c:majorUnit val="1"/>
      </c:valAx>
      <c:valAx>
        <c:axId val="2351603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1595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5985025424074626"/>
          <c:h val="0.73421052631578965"/>
        </c:manualLayout>
      </c:layout>
      <c:scatterChart>
        <c:scatterStyle val="smoothMarker"/>
        <c:varyColors val="0"/>
        <c:ser>
          <c:idx val="0"/>
          <c:order val="0"/>
          <c:tx>
            <c:v>Avance Fisico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'ER6-frt-ECE'!$A$18:$A$36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'ER6-frt-ECE'!$C$18:$C$36</c:f>
              <c:numCache>
                <c:formatCode>0.00%</c:formatCode>
                <c:ptCount val="19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</c:numCache>
            </c:numRef>
          </c:yVal>
          <c:smooth val="1"/>
        </c:ser>
        <c:ser>
          <c:idx val="1"/>
          <c:order val="1"/>
          <c:tx>
            <c:v>Avance Financiero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'ER6-frt-ECE'!$A$18:$A$36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xVal>
          <c:yVal>
            <c:numRef>
              <c:f>'ER6-frt-ECE'!$F$18:$F$36</c:f>
              <c:numCache>
                <c:formatCode>0.00%</c:formatCode>
                <c:ptCount val="19"/>
                <c:pt idx="0">
                  <c:v>0.2</c:v>
                </c:pt>
                <c:pt idx="1">
                  <c:v>0.22</c:v>
                </c:pt>
                <c:pt idx="2">
                  <c:v>0.24399999999999999</c:v>
                </c:pt>
                <c:pt idx="3">
                  <c:v>0.27200000000000002</c:v>
                </c:pt>
                <c:pt idx="4">
                  <c:v>0.3</c:v>
                </c:pt>
                <c:pt idx="5">
                  <c:v>0.33200000000000002</c:v>
                </c:pt>
                <c:pt idx="6">
                  <c:v>0.36799999999999999</c:v>
                </c:pt>
                <c:pt idx="7">
                  <c:v>0.40400000000000003</c:v>
                </c:pt>
                <c:pt idx="8">
                  <c:v>0.44400000000000001</c:v>
                </c:pt>
                <c:pt idx="9">
                  <c:v>0.48799999999999999</c:v>
                </c:pt>
                <c:pt idx="10">
                  <c:v>0.53200000000000003</c:v>
                </c:pt>
                <c:pt idx="11">
                  <c:v>0.57599999999999996</c:v>
                </c:pt>
                <c:pt idx="12">
                  <c:v>0.624</c:v>
                </c:pt>
                <c:pt idx="13">
                  <c:v>0.68</c:v>
                </c:pt>
                <c:pt idx="14">
                  <c:v>0.73599999999999999</c:v>
                </c:pt>
                <c:pt idx="15">
                  <c:v>0.78800000000000003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528576"/>
        <c:axId val="237530496"/>
      </c:scatterChart>
      <c:valAx>
        <c:axId val="237528576"/>
        <c:scaling>
          <c:orientation val="minMax"/>
          <c:max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530496"/>
        <c:crosses val="autoZero"/>
        <c:crossBetween val="midCat"/>
        <c:majorUnit val="1"/>
      </c:valAx>
      <c:valAx>
        <c:axId val="2375304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5285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357188</xdr:colOff>
      <xdr:row>4</xdr:row>
      <xdr:rowOff>9525</xdr:rowOff>
    </xdr:from>
    <xdr:to>
      <xdr:col>24</xdr:col>
      <xdr:colOff>190501</xdr:colOff>
      <xdr:row>25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357188</xdr:colOff>
      <xdr:row>4</xdr:row>
      <xdr:rowOff>9525</xdr:rowOff>
    </xdr:from>
    <xdr:to>
      <xdr:col>24</xdr:col>
      <xdr:colOff>190501</xdr:colOff>
      <xdr:row>25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ODORON/Local%20Settings/Temporary%20Internet%20Files/Content.Outlook/K2JWR7MW/GRP%20EMP%202120OC-CO%20-%20SEP%20201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sa/AppData/Local/Microsoft/Windows/Temporary%20Internet%20Files/Content.Outlook/AL0H3DBL/1092/-v4-EER%231_Plan_de_Ejecuci&#243;n_Plurianual_(PEP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odoy.REG/OneDrive%20-%20Inter-American%20Development%20Bank%20Group/Mision%20de%20Analisis%20PR-L1105/Insumos%20para%20los%20intrumentos%20de%20programacion/1092/Plan_de_Ejecuci&#243;n_Plurianual_(PEP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sa/AppData/Local/Microsoft/Windows/Temporary%20Internet%20Files/Content.Outlook/AL0H3DBL/IDBDOCS-%2339818965-v4-EER%232_Plan_Operativo_Anual_(PO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F"/>
      <sheetName val="MER"/>
      <sheetName val="MMR"/>
      <sheetName val="Settings"/>
    </sheetNames>
    <sheetDataSet>
      <sheetData sheetId="0">
        <row r="8">
          <cell r="C8" t="str">
            <v>I</v>
          </cell>
          <cell r="D8" t="str">
            <v>Desarrollo</v>
          </cell>
          <cell r="E8" t="str">
            <v xml:space="preserve">Que la entidad se vea sometida a procesos judiciales y/o administrativos </v>
          </cell>
        </row>
        <row r="12">
          <cell r="C12" t="str">
            <v>I y II</v>
          </cell>
          <cell r="D12" t="str">
            <v>Desarrollo</v>
          </cell>
          <cell r="E12" t="str">
            <v>Sobrecostos de las obras</v>
          </cell>
        </row>
        <row r="19">
          <cell r="C19" t="str">
            <v>II</v>
          </cell>
          <cell r="D19" t="str">
            <v>Desarrollo</v>
          </cell>
          <cell r="E19" t="str">
            <v>Retrasos/ paro de ejecución del interceptor</v>
          </cell>
        </row>
        <row r="26">
          <cell r="C26" t="str">
            <v>I y II</v>
          </cell>
          <cell r="D26" t="str">
            <v>Fiduciarios</v>
          </cell>
          <cell r="E26" t="str">
            <v>Retrasos en las contrataciones /adquisiciones</v>
          </cell>
        </row>
        <row r="31">
          <cell r="C31" t="str">
            <v>I y II</v>
          </cell>
          <cell r="D31" t="str">
            <v>Ambientales y Sociales</v>
          </cell>
          <cell r="E31" t="str">
            <v>No se logren los objetivos de calidad del proyecto</v>
          </cell>
        </row>
        <row r="35">
          <cell r="C35" t="str">
            <v>I y II</v>
          </cell>
          <cell r="D35" t="str">
            <v>Ambientales y Sociales</v>
          </cell>
          <cell r="E35" t="str">
            <v>Impacto en el medio ambiente por problemas en el proceso de construcción</v>
          </cell>
        </row>
        <row r="40">
          <cell r="C40" t="str">
            <v>III</v>
          </cell>
          <cell r="D40" t="str">
            <v>Gobernabilidad</v>
          </cell>
          <cell r="E40" t="str">
            <v>Retraso en la implementación de la NIIF</v>
          </cell>
        </row>
        <row r="44">
          <cell r="C44" t="str">
            <v>I</v>
          </cell>
          <cell r="D44" t="str">
            <v>Desarrollo</v>
          </cell>
          <cell r="E44" t="str">
            <v>Retrasos/ paro de ejecución de la PTAR</v>
          </cell>
        </row>
      </sheetData>
      <sheetData sheetId="1">
        <row r="15">
          <cell r="I15">
            <v>2</v>
          </cell>
          <cell r="J15" t="str">
            <v>Medio</v>
          </cell>
        </row>
        <row r="16">
          <cell r="I16">
            <v>1</v>
          </cell>
          <cell r="J16" t="str">
            <v>Bajo</v>
          </cell>
        </row>
        <row r="17">
          <cell r="I17">
            <v>2</v>
          </cell>
          <cell r="J17" t="str">
            <v>Medio</v>
          </cell>
        </row>
        <row r="18">
          <cell r="I18">
            <v>2</v>
          </cell>
          <cell r="J18" t="str">
            <v>Medio</v>
          </cell>
        </row>
        <row r="21">
          <cell r="I21">
            <v>2</v>
          </cell>
          <cell r="J21" t="str">
            <v>Medio</v>
          </cell>
        </row>
        <row r="22">
          <cell r="I22">
            <v>2</v>
          </cell>
          <cell r="J22" t="str">
            <v>Medio</v>
          </cell>
        </row>
        <row r="23">
          <cell r="I23">
            <v>1</v>
          </cell>
          <cell r="J23" t="str">
            <v>Bajo</v>
          </cell>
        </row>
        <row r="25">
          <cell r="I25">
            <v>2</v>
          </cell>
          <cell r="J25" t="str">
            <v>Medio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EDT"/>
      <sheetName val="2.MdR"/>
      <sheetName val="3. PEP"/>
      <sheetName val="4. CC D"/>
      <sheetName val="5. CC R-1"/>
      <sheetName val="6. PF M BID"/>
      <sheetName val="7. PF A BID"/>
      <sheetName val="8. Ejecucion por producto"/>
      <sheetName val="9. PD A"/>
      <sheetName val="10. PA"/>
      <sheetName val="11. PAI"/>
      <sheetName val="12. POA año 1"/>
      <sheetName val="caledario"/>
      <sheetName val="12.1 CAMINOS"/>
      <sheetName val="12.2 PUENTES"/>
      <sheetName val="Caminos G1"/>
      <sheetName val="Fisc CG1"/>
      <sheetName val="Camino G2"/>
      <sheetName val="Fisc CG2"/>
      <sheetName val="Puentes G1"/>
      <sheetName val="Fisca PG1"/>
      <sheetName val="Puentes G2"/>
      <sheetName val="12.8 Mantenimiento"/>
      <sheetName val="Fisc PG2"/>
      <sheetName val="MANT. 504,90 km"/>
      <sheetName val="CRONOG FISICO-FINANCIERO"/>
      <sheetName val="12.3Mitig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>
            <v>0</v>
          </cell>
          <cell r="G8">
            <v>0</v>
          </cell>
        </row>
        <row r="9">
          <cell r="G9">
            <v>0</v>
          </cell>
        </row>
        <row r="10">
          <cell r="G10" t="str">
            <v>ECATEF/DCV</v>
          </cell>
        </row>
        <row r="16">
          <cell r="G16" t="str">
            <v>ECATEF/DCV</v>
          </cell>
        </row>
        <row r="32">
          <cell r="G32">
            <v>0</v>
          </cell>
        </row>
        <row r="33">
          <cell r="G33" t="str">
            <v>ECATEF/DCV</v>
          </cell>
        </row>
        <row r="35">
          <cell r="G35" t="str">
            <v>ECATEF/DCV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EDT"/>
      <sheetName val="2.MdR"/>
      <sheetName val="3. PEP"/>
      <sheetName val="4. CC D"/>
      <sheetName val="5. CC R-1"/>
      <sheetName val="6. PF M BID"/>
      <sheetName val="7. PF A BID"/>
      <sheetName val="8. Ejecucion por producto"/>
      <sheetName val="9. PD A"/>
      <sheetName val="10. PA"/>
      <sheetName val="11. PAI"/>
      <sheetName val="12. POA año 1"/>
      <sheetName val="caledario"/>
      <sheetName val="12.1 CAMINOS"/>
      <sheetName val="12.2 PUENTES"/>
      <sheetName val="Caminos G1"/>
      <sheetName val="Fisc CG1"/>
      <sheetName val="Camino G2"/>
      <sheetName val="Fisc CG2"/>
      <sheetName val="Puentes G1"/>
      <sheetName val="Fisca PG1"/>
      <sheetName val="Puentes G2"/>
      <sheetName val="12.8 Mantenimiento"/>
      <sheetName val="Fisc PG2"/>
      <sheetName val="MANT. 504,90 km"/>
      <sheetName val="CRONOG FISICO-FINANCIERO"/>
      <sheetName val="12.3Miti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>
            <v>42736</v>
          </cell>
        </row>
        <row r="2">
          <cell r="D2">
            <v>42767</v>
          </cell>
        </row>
        <row r="3">
          <cell r="D3">
            <v>42795</v>
          </cell>
        </row>
        <row r="4">
          <cell r="D4">
            <v>42826</v>
          </cell>
        </row>
        <row r="5">
          <cell r="D5">
            <v>42856</v>
          </cell>
        </row>
        <row r="6">
          <cell r="D6">
            <v>42887</v>
          </cell>
        </row>
        <row r="7">
          <cell r="D7">
            <v>42917</v>
          </cell>
        </row>
        <row r="8">
          <cell r="D8">
            <v>42948</v>
          </cell>
        </row>
        <row r="9">
          <cell r="D9">
            <v>42979</v>
          </cell>
        </row>
        <row r="10">
          <cell r="D10">
            <v>43009</v>
          </cell>
        </row>
        <row r="11">
          <cell r="D11">
            <v>43040</v>
          </cell>
        </row>
        <row r="12">
          <cell r="D12">
            <v>43070</v>
          </cell>
        </row>
        <row r="13">
          <cell r="D13">
            <v>43101</v>
          </cell>
        </row>
        <row r="14">
          <cell r="D14">
            <v>43132</v>
          </cell>
        </row>
        <row r="15">
          <cell r="D15">
            <v>43160</v>
          </cell>
        </row>
        <row r="16">
          <cell r="D16">
            <v>43191</v>
          </cell>
        </row>
        <row r="17">
          <cell r="D17">
            <v>43221</v>
          </cell>
        </row>
        <row r="18">
          <cell r="D18">
            <v>43252</v>
          </cell>
        </row>
        <row r="19">
          <cell r="D19">
            <v>43282</v>
          </cell>
        </row>
        <row r="20">
          <cell r="D20">
            <v>43313</v>
          </cell>
        </row>
        <row r="21">
          <cell r="D21">
            <v>43344</v>
          </cell>
        </row>
        <row r="22">
          <cell r="D22">
            <v>43374</v>
          </cell>
        </row>
        <row r="23">
          <cell r="D23">
            <v>43405</v>
          </cell>
        </row>
        <row r="24">
          <cell r="D24">
            <v>43435</v>
          </cell>
        </row>
        <row r="25">
          <cell r="D25">
            <v>43466</v>
          </cell>
        </row>
        <row r="26">
          <cell r="D26">
            <v>43497</v>
          </cell>
        </row>
        <row r="27">
          <cell r="D27">
            <v>43525</v>
          </cell>
        </row>
        <row r="28">
          <cell r="D28">
            <v>43556</v>
          </cell>
        </row>
        <row r="29">
          <cell r="D29">
            <v>43586</v>
          </cell>
        </row>
        <row r="30">
          <cell r="D30">
            <v>43617</v>
          </cell>
        </row>
        <row r="31">
          <cell r="D31">
            <v>43647</v>
          </cell>
        </row>
        <row r="32">
          <cell r="D32">
            <v>43678</v>
          </cell>
        </row>
        <row r="33">
          <cell r="D33">
            <v>43709</v>
          </cell>
        </row>
        <row r="34">
          <cell r="D34">
            <v>43739</v>
          </cell>
        </row>
        <row r="35">
          <cell r="D35">
            <v>43770</v>
          </cell>
        </row>
        <row r="36">
          <cell r="D36">
            <v>43800</v>
          </cell>
        </row>
        <row r="37">
          <cell r="D37">
            <v>43831</v>
          </cell>
        </row>
        <row r="38">
          <cell r="D38">
            <v>43862</v>
          </cell>
        </row>
        <row r="39">
          <cell r="D39">
            <v>43891</v>
          </cell>
        </row>
        <row r="40">
          <cell r="D40">
            <v>43922</v>
          </cell>
        </row>
        <row r="41">
          <cell r="D41">
            <v>43952</v>
          </cell>
        </row>
        <row r="42">
          <cell r="D42">
            <v>43983</v>
          </cell>
        </row>
        <row r="43">
          <cell r="D43">
            <v>44013</v>
          </cell>
        </row>
        <row r="44">
          <cell r="D44">
            <v>44044</v>
          </cell>
        </row>
        <row r="45">
          <cell r="D45">
            <v>44075</v>
          </cell>
        </row>
        <row r="46">
          <cell r="D46">
            <v>44105</v>
          </cell>
        </row>
        <row r="47">
          <cell r="D47">
            <v>44136</v>
          </cell>
        </row>
        <row r="48">
          <cell r="D48">
            <v>44166</v>
          </cell>
        </row>
        <row r="49">
          <cell r="D49">
            <v>44197</v>
          </cell>
        </row>
        <row r="50">
          <cell r="D50">
            <v>44228</v>
          </cell>
        </row>
        <row r="51">
          <cell r="D51">
            <v>44256</v>
          </cell>
        </row>
        <row r="52">
          <cell r="D52">
            <v>44287</v>
          </cell>
        </row>
        <row r="53">
          <cell r="D53">
            <v>44317</v>
          </cell>
        </row>
        <row r="54">
          <cell r="D54">
            <v>44348</v>
          </cell>
        </row>
        <row r="55">
          <cell r="D55">
            <v>44378</v>
          </cell>
        </row>
        <row r="56">
          <cell r="D56">
            <v>44409</v>
          </cell>
        </row>
        <row r="57">
          <cell r="D57">
            <v>44440</v>
          </cell>
        </row>
        <row r="58">
          <cell r="D58">
            <v>44470</v>
          </cell>
        </row>
        <row r="59">
          <cell r="D59">
            <v>44501</v>
          </cell>
        </row>
        <row r="60">
          <cell r="D60">
            <v>44531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EDT"/>
      <sheetName val="2.MdR"/>
      <sheetName val="3. PEP"/>
      <sheetName val="4. CC D"/>
      <sheetName val="5. CC R-1"/>
      <sheetName val="6. PF M BID"/>
      <sheetName val="7. PF A BID"/>
      <sheetName val="8. Ejecucion por producto"/>
      <sheetName val="9. PD A"/>
      <sheetName val="10. PA"/>
      <sheetName val="11. PAI"/>
      <sheetName val="12. POA año 1"/>
      <sheetName val="caledario"/>
      <sheetName val="12.1 CAMINOS"/>
      <sheetName val="12.2 PUENTES"/>
      <sheetName val="Caminos G1"/>
      <sheetName val="Fisc CG1"/>
      <sheetName val="Camino G2"/>
      <sheetName val="Fisc CG2"/>
      <sheetName val="Puentes G1"/>
      <sheetName val="Fisca PG1"/>
      <sheetName val="Puentes G2"/>
      <sheetName val="12.8 Mantenimiento"/>
      <sheetName val="Fisc PG2"/>
      <sheetName val="MANT. 504,90 km"/>
      <sheetName val="CRONOG FISICO-FINANCIERO"/>
      <sheetName val="12.3Mitigación"/>
    </sheetNames>
    <sheetDataSet>
      <sheetData sheetId="0"/>
      <sheetData sheetId="1"/>
      <sheetData sheetId="2"/>
      <sheetData sheetId="3">
        <row r="26">
          <cell r="G26">
            <v>58220000</v>
          </cell>
        </row>
        <row r="27">
          <cell r="G27">
            <v>42340000</v>
          </cell>
        </row>
        <row r="28">
          <cell r="D28" t="str">
            <v>T2 - Año 1</v>
          </cell>
          <cell r="F28" t="str">
            <v>T3 - Año 3</v>
          </cell>
          <cell r="G28">
            <v>13200000</v>
          </cell>
        </row>
        <row r="29">
          <cell r="D29" t="str">
            <v>T2 - Año 2</v>
          </cell>
          <cell r="F29" t="str">
            <v>T3 - Año 4</v>
          </cell>
          <cell r="G29">
            <v>24800000</v>
          </cell>
        </row>
        <row r="30">
          <cell r="D30" t="str">
            <v>T2 - Año 1</v>
          </cell>
          <cell r="F30" t="str">
            <v>T3 - Año 3</v>
          </cell>
          <cell r="G30">
            <v>875000</v>
          </cell>
        </row>
        <row r="32">
          <cell r="D32" t="str">
            <v>T2 - Año 1</v>
          </cell>
          <cell r="F32" t="str">
            <v>T3 - Año 2</v>
          </cell>
          <cell r="G32">
            <v>1820000</v>
          </cell>
        </row>
        <row r="33">
          <cell r="G33">
            <v>4000000</v>
          </cell>
        </row>
        <row r="34">
          <cell r="D34" t="str">
            <v>T1 - Año 1</v>
          </cell>
          <cell r="F34" t="str">
            <v>T4 - Año 5</v>
          </cell>
          <cell r="G34">
            <v>764080</v>
          </cell>
        </row>
        <row r="40">
          <cell r="G40">
            <v>11660000</v>
          </cell>
        </row>
        <row r="41">
          <cell r="D41" t="str">
            <v>T2 - Año 1</v>
          </cell>
          <cell r="F41" t="str">
            <v>T1 - Año 3</v>
          </cell>
          <cell r="G41">
            <v>6885000</v>
          </cell>
        </row>
        <row r="42">
          <cell r="D42" t="str">
            <v>T3 - Año 2</v>
          </cell>
          <cell r="F42" t="str">
            <v>T4 - Año 4</v>
          </cell>
          <cell r="G42">
            <v>3315000</v>
          </cell>
        </row>
        <row r="43">
          <cell r="D43" t="str">
            <v>T1 - Año 1</v>
          </cell>
          <cell r="F43" t="str">
            <v>T1 - Año 3</v>
          </cell>
          <cell r="G43">
            <v>460000</v>
          </cell>
        </row>
        <row r="44">
          <cell r="D44" t="str">
            <v>T2 - Año 2</v>
          </cell>
          <cell r="F44" t="str">
            <v>T1 - Año 5</v>
          </cell>
          <cell r="G44">
            <v>220000</v>
          </cell>
        </row>
        <row r="46">
          <cell r="G46">
            <v>220000</v>
          </cell>
        </row>
        <row r="47">
          <cell r="D47" t="str">
            <v>T2 - Año 1</v>
          </cell>
          <cell r="F47" t="str">
            <v>T2 - Año 4</v>
          </cell>
          <cell r="G47">
            <v>90000</v>
          </cell>
        </row>
        <row r="57">
          <cell r="D57" t="str">
            <v>T1 - Año 2</v>
          </cell>
          <cell r="F57" t="str">
            <v>T3 - Año 4</v>
          </cell>
          <cell r="G57">
            <v>65000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topLeftCell="A4" zoomScale="80" zoomScaleNormal="80" workbookViewId="0">
      <selection activeCell="B16" sqref="B16"/>
    </sheetView>
  </sheetViews>
  <sheetFormatPr defaultColWidth="11.42578125" defaultRowHeight="15" x14ac:dyDescent="0.2"/>
  <cols>
    <col min="1" max="1" width="10.42578125" style="1" bestFit="1" customWidth="1"/>
    <col min="2" max="2" width="97.140625" style="1" bestFit="1" customWidth="1"/>
    <col min="3" max="4" width="17" style="2" customWidth="1"/>
    <col min="5" max="5" width="84.5703125" style="1" customWidth="1"/>
    <col min="6" max="6" width="12.85546875" style="1" bestFit="1" customWidth="1"/>
    <col min="7" max="16384" width="11.42578125" style="1"/>
  </cols>
  <sheetData>
    <row r="1" spans="1:4" ht="16.5" customHeight="1" x14ac:dyDescent="0.2">
      <c r="A1" s="470" t="s">
        <v>0</v>
      </c>
      <c r="B1" s="470"/>
      <c r="C1" s="470"/>
      <c r="D1" s="470"/>
    </row>
    <row r="2" spans="1:4" ht="33.75" customHeight="1" x14ac:dyDescent="0.2">
      <c r="A2" s="471" t="s">
        <v>257</v>
      </c>
      <c r="B2" s="471"/>
      <c r="C2" s="471"/>
      <c r="D2" s="471"/>
    </row>
    <row r="3" spans="1:4" ht="33.75" customHeight="1" x14ac:dyDescent="0.2">
      <c r="A3" s="288"/>
      <c r="B3" s="288"/>
      <c r="C3" s="288"/>
      <c r="D3" s="288"/>
    </row>
    <row r="4" spans="1:4" ht="33.75" customHeight="1" x14ac:dyDescent="0.2">
      <c r="A4" s="288" t="s">
        <v>253</v>
      </c>
      <c r="B4" s="288" t="s">
        <v>254</v>
      </c>
      <c r="C4" s="288"/>
      <c r="D4" s="288"/>
    </row>
    <row r="5" spans="1:4" ht="15" customHeight="1" x14ac:dyDescent="0.2">
      <c r="A5" s="288"/>
      <c r="B5" s="288"/>
      <c r="C5" s="288"/>
      <c r="D5" s="288"/>
    </row>
    <row r="6" spans="1:4" customFormat="1" ht="12.75" x14ac:dyDescent="0.2">
      <c r="A6" s="472"/>
      <c r="B6" s="474" t="s">
        <v>1</v>
      </c>
      <c r="C6" s="21" t="s">
        <v>2</v>
      </c>
      <c r="D6" s="22"/>
    </row>
    <row r="7" spans="1:4" customFormat="1" ht="12.75" x14ac:dyDescent="0.2">
      <c r="A7" s="473"/>
      <c r="B7" s="475"/>
      <c r="C7" s="23" t="s">
        <v>3</v>
      </c>
      <c r="D7" s="24" t="s">
        <v>4</v>
      </c>
    </row>
    <row r="8" spans="1:4" customFormat="1" ht="23.25" customHeight="1" x14ac:dyDescent="0.2">
      <c r="A8" s="8">
        <v>1</v>
      </c>
      <c r="B8" s="9" t="s">
        <v>251</v>
      </c>
      <c r="C8" s="10">
        <f>+C9+C12</f>
        <v>85000000</v>
      </c>
      <c r="D8" s="11">
        <f>+C8/C19</f>
        <v>0.94444444444444442</v>
      </c>
    </row>
    <row r="9" spans="1:4" s="16" customFormat="1" ht="12.75" x14ac:dyDescent="0.2">
      <c r="A9" s="12">
        <v>1.1000000000000001</v>
      </c>
      <c r="B9" s="13" t="s">
        <v>407</v>
      </c>
      <c r="C9" s="14">
        <f>+C10+C11</f>
        <v>72050000</v>
      </c>
      <c r="D9" s="15"/>
    </row>
    <row r="10" spans="1:4" s="16" customFormat="1" ht="12.75" x14ac:dyDescent="0.2">
      <c r="A10" s="289" t="s">
        <v>78</v>
      </c>
      <c r="B10" s="290" t="s">
        <v>249</v>
      </c>
      <c r="C10" s="291">
        <f>+'4. CC D'!I11+'4. CC D'!I13</f>
        <v>39750000</v>
      </c>
      <c r="D10" s="292"/>
    </row>
    <row r="11" spans="1:4" s="16" customFormat="1" ht="12.75" x14ac:dyDescent="0.2">
      <c r="A11" s="289" t="s">
        <v>83</v>
      </c>
      <c r="B11" s="290" t="s">
        <v>250</v>
      </c>
      <c r="C11" s="291">
        <f>+'4. CC D'!I12+'4. CC D'!I14</f>
        <v>32300000</v>
      </c>
      <c r="D11" s="292"/>
    </row>
    <row r="12" spans="1:4" customFormat="1" ht="12.75" x14ac:dyDescent="0.2">
      <c r="A12" s="12">
        <v>1.2</v>
      </c>
      <c r="B12" s="13" t="s">
        <v>408</v>
      </c>
      <c r="C12" s="14">
        <f>+C13+C14</f>
        <v>12950000</v>
      </c>
      <c r="D12" s="15"/>
    </row>
    <row r="13" spans="1:4" customFormat="1" ht="12.75" x14ac:dyDescent="0.2">
      <c r="A13" s="289" t="s">
        <v>87</v>
      </c>
      <c r="B13" s="290" t="s">
        <v>260</v>
      </c>
      <c r="C13" s="291">
        <f>+'4. CC D'!I16+'4. CC D'!I18</f>
        <v>6300000</v>
      </c>
      <c r="D13" s="292"/>
    </row>
    <row r="14" spans="1:4" customFormat="1" ht="12.75" x14ac:dyDescent="0.2">
      <c r="A14" s="289" t="s">
        <v>89</v>
      </c>
      <c r="B14" s="290" t="s">
        <v>261</v>
      </c>
      <c r="C14" s="291">
        <f>+'3. PEP'!G34+'3. PEP'!G36</f>
        <v>6650000</v>
      </c>
      <c r="D14" s="292"/>
    </row>
    <row r="15" spans="1:4" customFormat="1" ht="18.75" customHeight="1" x14ac:dyDescent="0.2">
      <c r="A15" s="8">
        <v>2</v>
      </c>
      <c r="B15" s="9" t="s">
        <v>5</v>
      </c>
      <c r="C15" s="10">
        <f>+C16+C17+C18</f>
        <v>5000000</v>
      </c>
      <c r="D15" s="11">
        <f>+C15/C19</f>
        <v>5.5555555555555552E-2</v>
      </c>
    </row>
    <row r="16" spans="1:4" customFormat="1" ht="18.75" customHeight="1" x14ac:dyDescent="0.2">
      <c r="A16" s="12">
        <v>2.1</v>
      </c>
      <c r="B16" s="13" t="s">
        <v>6</v>
      </c>
      <c r="C16" s="14">
        <f>+'4. CC D'!I21</f>
        <v>3300000</v>
      </c>
      <c r="D16" s="15"/>
    </row>
    <row r="17" spans="1:4" customFormat="1" ht="12.75" x14ac:dyDescent="0.2">
      <c r="A17" s="12">
        <v>2.2000000000000002</v>
      </c>
      <c r="B17" s="13" t="s">
        <v>7</v>
      </c>
      <c r="C17" s="14">
        <f>+'4. CC D'!I23</f>
        <v>250000</v>
      </c>
      <c r="D17" s="15"/>
    </row>
    <row r="18" spans="1:4" s="16" customFormat="1" ht="12.75" x14ac:dyDescent="0.2">
      <c r="A18" s="12">
        <v>2.2999999999999998</v>
      </c>
      <c r="B18" s="13" t="s">
        <v>252</v>
      </c>
      <c r="C18" s="14">
        <f>+'4. CC D'!I26</f>
        <v>1450000</v>
      </c>
      <c r="D18" s="15"/>
    </row>
    <row r="19" spans="1:4" customFormat="1" ht="12.75" x14ac:dyDescent="0.2">
      <c r="A19" s="17"/>
      <c r="B19" s="18" t="s">
        <v>8</v>
      </c>
      <c r="C19" s="19">
        <f>+C15+C8</f>
        <v>90000000</v>
      </c>
      <c r="D19" s="20">
        <f>105/105</f>
        <v>1</v>
      </c>
    </row>
    <row r="20" spans="1:4" customFormat="1" ht="12.75" x14ac:dyDescent="0.2">
      <c r="D20" s="7"/>
    </row>
    <row r="21" spans="1:4" customFormat="1" x14ac:dyDescent="0.2">
      <c r="A21" s="1"/>
      <c r="B21" s="1"/>
      <c r="C21" s="2"/>
      <c r="D21" s="2"/>
    </row>
    <row r="22" spans="1:4" s="16" customFormat="1" ht="22.5" customHeight="1" x14ac:dyDescent="0.2">
      <c r="A22" s="1"/>
      <c r="B22" s="1"/>
      <c r="C22" s="2"/>
      <c r="D22" s="2"/>
    </row>
    <row r="23" spans="1:4" customFormat="1" x14ac:dyDescent="0.2">
      <c r="A23" s="1"/>
      <c r="B23" s="1"/>
      <c r="C23" s="2"/>
      <c r="D23" s="2"/>
    </row>
    <row r="24" spans="1:4" s="16" customFormat="1" ht="22.5" customHeight="1" x14ac:dyDescent="0.2">
      <c r="A24" s="288" t="s">
        <v>255</v>
      </c>
      <c r="B24" s="288" t="s">
        <v>256</v>
      </c>
      <c r="C24" s="2"/>
      <c r="D24" s="2"/>
    </row>
    <row r="25" spans="1:4" customFormat="1" x14ac:dyDescent="0.2">
      <c r="A25" s="1"/>
      <c r="B25" s="1"/>
      <c r="C25" s="2"/>
      <c r="D25" s="2"/>
    </row>
    <row r="26" spans="1:4" customFormat="1" ht="12.75" x14ac:dyDescent="0.2">
      <c r="A26" s="476"/>
      <c r="B26" s="477" t="s">
        <v>1</v>
      </c>
      <c r="C26" s="293" t="s">
        <v>2</v>
      </c>
      <c r="D26" s="294"/>
    </row>
    <row r="27" spans="1:4" customFormat="1" ht="12.75" x14ac:dyDescent="0.2">
      <c r="A27" s="476"/>
      <c r="B27" s="477"/>
      <c r="C27" s="295" t="s">
        <v>3</v>
      </c>
      <c r="D27" s="294" t="s">
        <v>4</v>
      </c>
    </row>
    <row r="28" spans="1:4" customFormat="1" ht="16.5" customHeight="1" x14ac:dyDescent="0.2">
      <c r="A28" s="296">
        <v>1</v>
      </c>
      <c r="B28" s="297" t="s">
        <v>251</v>
      </c>
      <c r="C28" s="298">
        <f>+C29+C32+C35+C39</f>
        <v>86450000</v>
      </c>
      <c r="D28" s="299">
        <f>+C28/C43</f>
        <v>0.96055555555555561</v>
      </c>
    </row>
    <row r="29" spans="1:4" s="16" customFormat="1" ht="22.5" customHeight="1" x14ac:dyDescent="0.2">
      <c r="A29" s="300">
        <v>1.1000000000000001</v>
      </c>
      <c r="B29" s="301" t="s">
        <v>258</v>
      </c>
      <c r="C29" s="302">
        <f>+C30+C31</f>
        <v>68050000</v>
      </c>
      <c r="D29" s="301"/>
    </row>
    <row r="30" spans="1:4" customFormat="1" ht="16.5" customHeight="1" x14ac:dyDescent="0.2">
      <c r="A30" s="303" t="s">
        <v>78</v>
      </c>
      <c r="B30" s="304" t="s">
        <v>268</v>
      </c>
      <c r="C30" s="305">
        <v>37550000</v>
      </c>
      <c r="D30" s="304"/>
    </row>
    <row r="31" spans="1:4" customFormat="1" ht="12.75" x14ac:dyDescent="0.2">
      <c r="A31" s="303" t="s">
        <v>83</v>
      </c>
      <c r="B31" s="304" t="s">
        <v>269</v>
      </c>
      <c r="C31" s="305">
        <f>14500000+16000000</f>
        <v>30500000</v>
      </c>
      <c r="D31" s="304"/>
    </row>
    <row r="32" spans="1:4" customFormat="1" ht="12.75" x14ac:dyDescent="0.2">
      <c r="A32" s="300">
        <v>1.2</v>
      </c>
      <c r="B32" s="301" t="s">
        <v>259</v>
      </c>
      <c r="C32" s="302">
        <f>+C33+C34</f>
        <v>12250000</v>
      </c>
      <c r="D32" s="301"/>
    </row>
    <row r="33" spans="1:4" customFormat="1" ht="12.75" x14ac:dyDescent="0.2">
      <c r="A33" s="303" t="s">
        <v>87</v>
      </c>
      <c r="B33" s="304" t="s">
        <v>266</v>
      </c>
      <c r="C33" s="305">
        <v>6000000</v>
      </c>
      <c r="D33" s="304"/>
    </row>
    <row r="34" spans="1:4" customFormat="1" x14ac:dyDescent="0.2">
      <c r="A34" s="303" t="s">
        <v>89</v>
      </c>
      <c r="B34" s="304" t="s">
        <v>267</v>
      </c>
      <c r="C34" s="305">
        <v>6250000</v>
      </c>
      <c r="D34" s="306"/>
    </row>
    <row r="35" spans="1:4" customFormat="1" ht="12.75" x14ac:dyDescent="0.2">
      <c r="A35" s="300">
        <v>1.3</v>
      </c>
      <c r="B35" s="301" t="s">
        <v>262</v>
      </c>
      <c r="C35" s="302">
        <f>+C36+C37+C38</f>
        <v>4700000</v>
      </c>
      <c r="D35" s="300"/>
    </row>
    <row r="36" spans="1:4" customFormat="1" ht="12.75" x14ac:dyDescent="0.2">
      <c r="A36" s="303" t="s">
        <v>263</v>
      </c>
      <c r="B36" s="304" t="s">
        <v>271</v>
      </c>
      <c r="C36" s="305">
        <v>2500000</v>
      </c>
      <c r="D36" s="304"/>
    </row>
    <row r="37" spans="1:4" customFormat="1" ht="12.75" x14ac:dyDescent="0.2">
      <c r="A37" s="303" t="s">
        <v>264</v>
      </c>
      <c r="B37" s="304" t="s">
        <v>270</v>
      </c>
      <c r="C37" s="305">
        <v>400000</v>
      </c>
      <c r="D37" s="304"/>
    </row>
    <row r="38" spans="1:4" customFormat="1" ht="12.75" x14ac:dyDescent="0.2">
      <c r="A38" s="303" t="s">
        <v>265</v>
      </c>
      <c r="B38" s="304" t="s">
        <v>272</v>
      </c>
      <c r="C38" s="305">
        <v>1800000</v>
      </c>
      <c r="D38" s="304"/>
    </row>
    <row r="39" spans="1:4" customFormat="1" ht="12.75" x14ac:dyDescent="0.2">
      <c r="A39" s="300">
        <v>1.4</v>
      </c>
      <c r="B39" s="301" t="s">
        <v>252</v>
      </c>
      <c r="C39" s="302">
        <v>1450000</v>
      </c>
      <c r="D39" s="300"/>
    </row>
    <row r="40" spans="1:4" customFormat="1" ht="12.75" x14ac:dyDescent="0.2">
      <c r="A40" s="296">
        <v>2</v>
      </c>
      <c r="B40" s="297" t="s">
        <v>5</v>
      </c>
      <c r="C40" s="298">
        <f>+C41+C42</f>
        <v>3550000</v>
      </c>
      <c r="D40" s="299">
        <f>+C40/C43</f>
        <v>3.9444444444444442E-2</v>
      </c>
    </row>
    <row r="41" spans="1:4" customFormat="1" ht="16.5" customHeight="1" x14ac:dyDescent="0.2">
      <c r="A41" s="300">
        <v>2.1</v>
      </c>
      <c r="B41" s="301" t="s">
        <v>6</v>
      </c>
      <c r="C41" s="302">
        <v>3300000</v>
      </c>
      <c r="D41" s="301"/>
    </row>
    <row r="42" spans="1:4" customFormat="1" ht="12.75" x14ac:dyDescent="0.2">
      <c r="A42" s="300">
        <v>2.2000000000000002</v>
      </c>
      <c r="B42" s="301" t="s">
        <v>7</v>
      </c>
      <c r="C42" s="302">
        <v>250000</v>
      </c>
      <c r="D42" s="301"/>
    </row>
    <row r="43" spans="1:4" x14ac:dyDescent="0.2">
      <c r="A43" s="307"/>
      <c r="B43" s="308" t="s">
        <v>8</v>
      </c>
      <c r="C43" s="309">
        <f>+C40+C28</f>
        <v>90000000</v>
      </c>
      <c r="D43" s="310">
        <f>105/105</f>
        <v>1</v>
      </c>
    </row>
    <row r="51" spans="2:4" x14ac:dyDescent="0.2">
      <c r="B51" s="6"/>
      <c r="C51" s="4"/>
      <c r="D51" s="4"/>
    </row>
    <row r="52" spans="2:4" x14ac:dyDescent="0.2">
      <c r="B52" s="5"/>
      <c r="C52" s="4"/>
      <c r="D52" s="4"/>
    </row>
    <row r="53" spans="2:4" x14ac:dyDescent="0.2">
      <c r="B53" s="5"/>
      <c r="C53" s="4"/>
      <c r="D53" s="4"/>
    </row>
    <row r="54" spans="2:4" x14ac:dyDescent="0.2">
      <c r="B54" s="5"/>
      <c r="C54" s="4"/>
      <c r="D54" s="4"/>
    </row>
    <row r="55" spans="2:4" ht="16.5" customHeight="1" x14ac:dyDescent="0.2">
      <c r="B55" s="3"/>
      <c r="C55" s="4"/>
      <c r="D55" s="4"/>
    </row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5" ht="16.5" customHeight="1" x14ac:dyDescent="0.2"/>
    <row r="91" ht="16.5" customHeight="1" x14ac:dyDescent="0.2"/>
  </sheetData>
  <mergeCells count="6">
    <mergeCell ref="A1:D1"/>
    <mergeCell ref="A2:D2"/>
    <mergeCell ref="A6:A7"/>
    <mergeCell ref="B6:B7"/>
    <mergeCell ref="A26:A27"/>
    <mergeCell ref="B26:B27"/>
  </mergeCells>
  <pageMargins left="0.70866141732283472" right="0.70866141732283472" top="0.74803149606299213" bottom="0.74803149606299213" header="0.31496062992125984" footer="0.31496062992125984"/>
  <pageSetup paperSize="8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4"/>
  <sheetViews>
    <sheetView showGridLines="0" topLeftCell="A21" zoomScale="80" zoomScaleNormal="80" workbookViewId="0">
      <selection activeCell="C59" sqref="C59"/>
    </sheetView>
  </sheetViews>
  <sheetFormatPr defaultColWidth="11.42578125" defaultRowHeight="12" x14ac:dyDescent="0.2"/>
  <cols>
    <col min="1" max="1" width="17.42578125" style="257" customWidth="1"/>
    <col min="2" max="2" width="14.28515625" style="257" customWidth="1"/>
    <col min="3" max="3" width="16.85546875" style="257" customWidth="1"/>
    <col min="4" max="4" width="13.7109375" style="257" bestFit="1" customWidth="1"/>
    <col min="5" max="5" width="13.5703125" style="257" customWidth="1"/>
    <col min="6" max="6" width="18.28515625" style="257" customWidth="1"/>
    <col min="7" max="7" width="17.5703125" style="257" bestFit="1" customWidth="1"/>
    <col min="8" max="8" width="17.42578125" style="257" bestFit="1" customWidth="1"/>
    <col min="9" max="9" width="13.85546875" style="257" bestFit="1" customWidth="1"/>
    <col min="10" max="10" width="16.42578125" style="257" bestFit="1" customWidth="1"/>
    <col min="11" max="11" width="13.7109375" style="257" bestFit="1" customWidth="1"/>
    <col min="12" max="12" width="15.7109375" style="257" bestFit="1" customWidth="1"/>
    <col min="13" max="13" width="15.28515625" style="257" bestFit="1" customWidth="1"/>
    <col min="14" max="20" width="13.7109375" style="257" bestFit="1" customWidth="1"/>
    <col min="21" max="21" width="14.7109375" style="257" bestFit="1" customWidth="1"/>
    <col min="22" max="16384" width="11.42578125" style="257"/>
  </cols>
  <sheetData>
    <row r="1" spans="1:21" ht="15.75" customHeight="1" x14ac:dyDescent="0.2">
      <c r="A1" s="545" t="s">
        <v>210</v>
      </c>
      <c r="B1" s="545"/>
      <c r="C1" s="545"/>
      <c r="D1" s="545"/>
      <c r="E1" s="545"/>
      <c r="F1" s="545"/>
      <c r="G1" s="545"/>
      <c r="H1" s="545"/>
      <c r="I1" s="545"/>
      <c r="J1" s="54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x14ac:dyDescent="0.2">
      <c r="A2" s="186"/>
      <c r="B2" s="187"/>
      <c r="C2" s="188"/>
      <c r="D2" s="188"/>
      <c r="E2" s="189"/>
      <c r="F2" s="189"/>
      <c r="G2" s="185"/>
      <c r="H2" s="190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x14ac:dyDescent="0.2">
      <c r="A3" s="186" t="s">
        <v>211</v>
      </c>
      <c r="B3" s="546" t="s">
        <v>243</v>
      </c>
      <c r="C3" s="546"/>
      <c r="D3" s="546"/>
      <c r="E3" s="546"/>
      <c r="F3" s="546"/>
      <c r="G3" s="546"/>
      <c r="H3" s="546"/>
      <c r="I3" s="546"/>
      <c r="J3" s="191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 x14ac:dyDescent="0.2">
      <c r="A4" s="192"/>
      <c r="B4" s="546"/>
      <c r="C4" s="546"/>
      <c r="D4" s="546"/>
      <c r="E4" s="546"/>
      <c r="F4" s="546"/>
      <c r="G4" s="546"/>
      <c r="H4" s="546"/>
      <c r="I4" s="546"/>
      <c r="J4" s="191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</row>
    <row r="5" spans="1:21" x14ac:dyDescent="0.2">
      <c r="A5" s="547" t="str">
        <f>CONCATENATE("PLAZO: ",A36," MESES (",A43,")")</f>
        <v>PLAZO: 18 MESES (720 dias)</v>
      </c>
      <c r="B5" s="547"/>
      <c r="C5" s="547"/>
      <c r="D5" s="193"/>
      <c r="E5" s="194" t="s">
        <v>212</v>
      </c>
      <c r="F5" s="185" t="s">
        <v>213</v>
      </c>
      <c r="G5" s="185"/>
      <c r="H5" s="190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</row>
    <row r="6" spans="1:21" x14ac:dyDescent="0.2">
      <c r="A6" s="185"/>
      <c r="B6" s="195"/>
      <c r="C6" s="193"/>
      <c r="D6" s="193"/>
      <c r="E6" s="193"/>
      <c r="F6" s="185"/>
      <c r="G6" s="185"/>
      <c r="H6" s="190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</row>
    <row r="7" spans="1:21" x14ac:dyDescent="0.2">
      <c r="A7" s="185"/>
      <c r="B7" s="195"/>
      <c r="C7" s="196" t="s">
        <v>214</v>
      </c>
      <c r="D7" s="548"/>
      <c r="E7" s="548"/>
      <c r="F7" s="548"/>
      <c r="G7" s="185"/>
      <c r="H7" s="196" t="s">
        <v>215</v>
      </c>
      <c r="I7" s="197">
        <f ca="1">NOW()</f>
        <v>42618.498752893516</v>
      </c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</row>
    <row r="8" spans="1:21" x14ac:dyDescent="0.2">
      <c r="A8" s="185"/>
      <c r="B8" s="195"/>
      <c r="C8" s="196" t="str">
        <f>IF(D7=0,"MONTO ESTIMADO CON IVA:","MONTO DE CONTRATO CON IVA:")</f>
        <v>MONTO ESTIMADO CON IVA:</v>
      </c>
      <c r="D8" s="198">
        <f>A61</f>
        <v>2200000</v>
      </c>
      <c r="E8" s="199" t="s">
        <v>216</v>
      </c>
      <c r="F8" s="185" t="s">
        <v>217</v>
      </c>
      <c r="G8" s="185"/>
      <c r="H8" s="190" t="s">
        <v>218</v>
      </c>
      <c r="I8" s="200">
        <v>1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</row>
    <row r="9" spans="1:21" x14ac:dyDescent="0.2">
      <c r="A9" s="185"/>
      <c r="B9" s="195"/>
      <c r="C9" s="196"/>
      <c r="D9" s="198"/>
      <c r="E9" s="193" t="s">
        <v>219</v>
      </c>
      <c r="F9" s="185"/>
      <c r="G9" s="185"/>
      <c r="H9" s="190"/>
      <c r="I9" s="201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</row>
    <row r="10" spans="1:21" x14ac:dyDescent="0.2">
      <c r="A10" s="185"/>
      <c r="B10" s="195"/>
      <c r="C10" s="196"/>
      <c r="D10" s="198"/>
      <c r="E10" s="193" t="s">
        <v>216</v>
      </c>
      <c r="F10" s="185"/>
      <c r="G10" s="185"/>
      <c r="H10" s="190"/>
      <c r="I10" s="201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</row>
    <row r="11" spans="1:21" x14ac:dyDescent="0.2">
      <c r="A11" s="185"/>
      <c r="B11" s="185"/>
      <c r="C11" s="196" t="str">
        <f>IF(D7=0,"MONTO ESTIMADO SIN IVA:","MONTO DE CONTRATO SIN IVA:")</f>
        <v>MONTO ESTIMADO SIN IVA:</v>
      </c>
      <c r="D11" s="202">
        <f>D8</f>
        <v>2200000</v>
      </c>
      <c r="E11" s="203" t="s">
        <v>219</v>
      </c>
      <c r="F11" s="193"/>
      <c r="G11" s="185"/>
      <c r="H11" s="190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</row>
    <row r="12" spans="1:21" x14ac:dyDescent="0.2">
      <c r="A12" s="185"/>
      <c r="B12" s="185"/>
      <c r="C12" s="196" t="s">
        <v>220</v>
      </c>
      <c r="D12" s="200">
        <v>100</v>
      </c>
      <c r="E12" s="193"/>
      <c r="F12" s="193" t="s">
        <v>221</v>
      </c>
      <c r="G12" s="185"/>
      <c r="H12" s="190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</row>
    <row r="13" spans="1:21" x14ac:dyDescent="0.2">
      <c r="A13" s="185"/>
      <c r="B13" s="185"/>
      <c r="C13" s="196" t="s">
        <v>222</v>
      </c>
      <c r="D13" s="204">
        <f>100-D12</f>
        <v>0</v>
      </c>
      <c r="E13" s="193"/>
      <c r="F13" s="193"/>
      <c r="G13" s="185"/>
      <c r="H13" s="190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</row>
    <row r="14" spans="1:21" x14ac:dyDescent="0.2">
      <c r="A14" s="185"/>
      <c r="B14" s="185"/>
      <c r="C14" s="196" t="s">
        <v>223</v>
      </c>
      <c r="D14" s="201">
        <v>0</v>
      </c>
      <c r="E14" s="193"/>
      <c r="F14" s="193"/>
      <c r="G14" s="185"/>
      <c r="H14" s="190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</row>
    <row r="15" spans="1:21" x14ac:dyDescent="0.2">
      <c r="A15" s="185"/>
      <c r="B15" s="196" t="s">
        <v>224</v>
      </c>
      <c r="C15" s="549"/>
      <c r="D15" s="549"/>
      <c r="E15" s="205" t="s">
        <v>225</v>
      </c>
      <c r="F15" s="206"/>
      <c r="G15" s="185"/>
      <c r="H15" s="207" t="s">
        <v>226</v>
      </c>
      <c r="I15" s="200">
        <v>10</v>
      </c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</row>
    <row r="16" spans="1:21" ht="12.75" thickBot="1" x14ac:dyDescent="0.25">
      <c r="A16" s="185"/>
      <c r="B16" s="195"/>
      <c r="C16" s="193"/>
      <c r="D16" s="193"/>
      <c r="E16" s="193"/>
      <c r="F16" s="208"/>
      <c r="G16" s="185"/>
      <c r="H16" s="190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</row>
    <row r="17" spans="1:21" ht="48.75" thickBot="1" x14ac:dyDescent="0.25">
      <c r="A17" s="209" t="s">
        <v>227</v>
      </c>
      <c r="B17" s="210" t="s">
        <v>228</v>
      </c>
      <c r="C17" s="210" t="s">
        <v>229</v>
      </c>
      <c r="D17" s="211" t="str">
        <f>CONCATENATE("MONTO MENSUAL DESCONTADO ",ROUND(D14,0),"% ANTICIPO")</f>
        <v>MONTO MENSUAL DESCONTADO 0% ANTICIPO</v>
      </c>
      <c r="E17" s="212" t="s">
        <v>230</v>
      </c>
      <c r="F17" s="213" t="s">
        <v>231</v>
      </c>
      <c r="G17" s="214" t="s">
        <v>232</v>
      </c>
      <c r="H17" s="215" t="s">
        <v>233</v>
      </c>
      <c r="I17" s="216" t="str">
        <f>CONCATENATE("DESEMBOLSOS FONDO LOCAL (",ROUND(D13,0),"%) + IVA")</f>
        <v>DESEMBOLSOS FONDO LOCAL (0%) + IVA</v>
      </c>
      <c r="J17" s="216" t="str">
        <f>CONCATENATE("DESEMBOLSOS FONDO EXTERNO (",ROUND(D12,0),"%)")</f>
        <v>DESEMBOLSOS FONDO EXTERNO (100%)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</row>
    <row r="18" spans="1:21" x14ac:dyDescent="0.2">
      <c r="A18" s="217">
        <v>0</v>
      </c>
      <c r="B18" s="218">
        <f>D14/100</f>
        <v>0</v>
      </c>
      <c r="C18" s="218">
        <v>0</v>
      </c>
      <c r="D18" s="219">
        <f>ROUND(B18*D11,0)</f>
        <v>0</v>
      </c>
      <c r="E18" s="220">
        <f>D18</f>
        <v>0</v>
      </c>
      <c r="F18" s="221">
        <f t="shared" ref="F18:F36" si="0">E18/$E$36</f>
        <v>0</v>
      </c>
      <c r="G18" s="222" t="s">
        <v>234</v>
      </c>
      <c r="H18" s="223">
        <f t="shared" ref="H18:H33" si="1">ROUND(D18*0.1,0)</f>
        <v>0</v>
      </c>
      <c r="I18" s="224">
        <f t="shared" ref="I18:I36" si="2">ROUNDUP((D18+H18-J18),-(LEN(D18)-$I$15))</f>
        <v>0</v>
      </c>
      <c r="J18" s="224">
        <f t="shared" ref="J18:J33" si="3">ROUNDUP(D18*$D$12/100,-(LEN(D18)-$I$15))</f>
        <v>0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</row>
    <row r="19" spans="1:21" x14ac:dyDescent="0.2">
      <c r="A19" s="225">
        <v>1</v>
      </c>
      <c r="B19" s="226">
        <v>2.5000000000000001E-2</v>
      </c>
      <c r="C19" s="226">
        <f t="shared" ref="C19:C33" si="4">B19+C18</f>
        <v>2.5000000000000001E-2</v>
      </c>
      <c r="D19" s="227">
        <f t="shared" ref="D19:D31" si="5">ROUND(B19*$D$11*(100-$D$14)/100,0)</f>
        <v>55000</v>
      </c>
      <c r="E19" s="228">
        <f t="shared" ref="E19:E33" si="6">E18+D19</f>
        <v>55000</v>
      </c>
      <c r="F19" s="229">
        <f t="shared" si="0"/>
        <v>2.7777777777777776E-2</v>
      </c>
      <c r="G19" s="230" t="s">
        <v>124</v>
      </c>
      <c r="H19" s="231">
        <f t="shared" si="1"/>
        <v>5500</v>
      </c>
      <c r="I19" s="232">
        <f t="shared" si="2"/>
        <v>5500</v>
      </c>
      <c r="J19" s="232">
        <f t="shared" si="3"/>
        <v>55000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</row>
    <row r="20" spans="1:21" x14ac:dyDescent="0.2">
      <c r="A20" s="225">
        <v>2</v>
      </c>
      <c r="B20" s="226">
        <v>0.03</v>
      </c>
      <c r="C20" s="226">
        <f t="shared" si="4"/>
        <v>5.5E-2</v>
      </c>
      <c r="D20" s="227">
        <f t="shared" si="5"/>
        <v>66000</v>
      </c>
      <c r="E20" s="228">
        <f t="shared" si="6"/>
        <v>121000</v>
      </c>
      <c r="F20" s="229">
        <f t="shared" si="0"/>
        <v>6.1111111111111109E-2</v>
      </c>
      <c r="G20" s="230" t="s">
        <v>125</v>
      </c>
      <c r="H20" s="231">
        <f t="shared" si="1"/>
        <v>6600</v>
      </c>
      <c r="I20" s="232">
        <f t="shared" si="2"/>
        <v>6600</v>
      </c>
      <c r="J20" s="232">
        <f t="shared" si="3"/>
        <v>66000</v>
      </c>
      <c r="K20" s="233">
        <f>+SUM(J18:J20)</f>
        <v>121000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</row>
    <row r="21" spans="1:21" x14ac:dyDescent="0.2">
      <c r="A21" s="225">
        <v>3</v>
      </c>
      <c r="B21" s="226">
        <v>3.5000000000000003E-2</v>
      </c>
      <c r="C21" s="226">
        <f t="shared" si="4"/>
        <v>0.09</v>
      </c>
      <c r="D21" s="227">
        <f t="shared" si="5"/>
        <v>77000</v>
      </c>
      <c r="E21" s="228">
        <f t="shared" si="6"/>
        <v>198000</v>
      </c>
      <c r="F21" s="229">
        <f t="shared" si="0"/>
        <v>0.1</v>
      </c>
      <c r="G21" s="230" t="s">
        <v>126</v>
      </c>
      <c r="H21" s="231">
        <f t="shared" si="1"/>
        <v>7700</v>
      </c>
      <c r="I21" s="232">
        <f t="shared" si="2"/>
        <v>7700</v>
      </c>
      <c r="J21" s="232">
        <f t="shared" si="3"/>
        <v>77000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</row>
    <row r="22" spans="1:21" x14ac:dyDescent="0.2">
      <c r="A22" s="225">
        <v>4</v>
      </c>
      <c r="B22" s="226">
        <v>3.5000000000000003E-2</v>
      </c>
      <c r="C22" s="226">
        <f t="shared" si="4"/>
        <v>0.125</v>
      </c>
      <c r="D22" s="227">
        <f t="shared" si="5"/>
        <v>77000</v>
      </c>
      <c r="E22" s="228">
        <f t="shared" si="6"/>
        <v>275000</v>
      </c>
      <c r="F22" s="229">
        <f t="shared" si="0"/>
        <v>0.1388888888888889</v>
      </c>
      <c r="G22" s="230" t="s">
        <v>127</v>
      </c>
      <c r="H22" s="231">
        <f t="shared" si="1"/>
        <v>7700</v>
      </c>
      <c r="I22" s="232">
        <f t="shared" si="2"/>
        <v>7700</v>
      </c>
      <c r="J22" s="232">
        <f t="shared" si="3"/>
        <v>77000</v>
      </c>
      <c r="K22" s="234"/>
      <c r="L22" s="185"/>
      <c r="M22" s="185"/>
      <c r="N22" s="185"/>
      <c r="O22" s="185"/>
      <c r="P22" s="185"/>
      <c r="Q22" s="185"/>
      <c r="R22" s="185"/>
      <c r="S22" s="185"/>
      <c r="T22" s="185"/>
      <c r="U22" s="185"/>
    </row>
    <row r="23" spans="1:21" x14ac:dyDescent="0.2">
      <c r="A23" s="225">
        <v>5</v>
      </c>
      <c r="B23" s="226">
        <v>0.04</v>
      </c>
      <c r="C23" s="226">
        <f t="shared" si="4"/>
        <v>0.16500000000000001</v>
      </c>
      <c r="D23" s="227">
        <f t="shared" si="5"/>
        <v>88000</v>
      </c>
      <c r="E23" s="228">
        <f t="shared" si="6"/>
        <v>363000</v>
      </c>
      <c r="F23" s="229">
        <f t="shared" si="0"/>
        <v>0.18333333333333332</v>
      </c>
      <c r="G23" s="230" t="s">
        <v>128</v>
      </c>
      <c r="H23" s="231">
        <f t="shared" si="1"/>
        <v>8800</v>
      </c>
      <c r="I23" s="232">
        <f t="shared" si="2"/>
        <v>8800</v>
      </c>
      <c r="J23" s="232">
        <f t="shared" si="3"/>
        <v>88000</v>
      </c>
      <c r="K23" s="234"/>
      <c r="L23" s="185"/>
      <c r="M23" s="185"/>
      <c r="N23" s="185"/>
      <c r="O23" s="185"/>
      <c r="P23" s="185"/>
      <c r="Q23" s="185"/>
      <c r="R23" s="185"/>
      <c r="S23" s="185"/>
      <c r="T23" s="185"/>
      <c r="U23" s="185"/>
    </row>
    <row r="24" spans="1:21" x14ac:dyDescent="0.2">
      <c r="A24" s="225">
        <v>6</v>
      </c>
      <c r="B24" s="226">
        <v>4.4999999999999998E-2</v>
      </c>
      <c r="C24" s="226">
        <f t="shared" si="4"/>
        <v>0.21000000000000002</v>
      </c>
      <c r="D24" s="227">
        <f t="shared" si="5"/>
        <v>99000</v>
      </c>
      <c r="E24" s="228">
        <f t="shared" si="6"/>
        <v>462000</v>
      </c>
      <c r="F24" s="229">
        <f t="shared" si="0"/>
        <v>0.23333333333333334</v>
      </c>
      <c r="G24" s="230" t="s">
        <v>129</v>
      </c>
      <c r="H24" s="231">
        <f t="shared" si="1"/>
        <v>9900</v>
      </c>
      <c r="I24" s="232">
        <f t="shared" si="2"/>
        <v>9900</v>
      </c>
      <c r="J24" s="232">
        <f t="shared" si="3"/>
        <v>99000</v>
      </c>
      <c r="K24" s="234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  <row r="25" spans="1:21" x14ac:dyDescent="0.2">
      <c r="A25" s="225">
        <v>7</v>
      </c>
      <c r="B25" s="226">
        <v>4.4999999999999998E-2</v>
      </c>
      <c r="C25" s="226">
        <f t="shared" si="4"/>
        <v>0.255</v>
      </c>
      <c r="D25" s="227">
        <f t="shared" si="5"/>
        <v>99000</v>
      </c>
      <c r="E25" s="228">
        <f t="shared" si="6"/>
        <v>561000</v>
      </c>
      <c r="F25" s="229">
        <f t="shared" si="0"/>
        <v>0.28333333333333333</v>
      </c>
      <c r="G25" s="230" t="s">
        <v>130</v>
      </c>
      <c r="H25" s="231">
        <f t="shared" si="1"/>
        <v>9900</v>
      </c>
      <c r="I25" s="232">
        <f t="shared" si="2"/>
        <v>9900</v>
      </c>
      <c r="J25" s="232">
        <f t="shared" si="3"/>
        <v>99000</v>
      </c>
      <c r="K25" s="235"/>
      <c r="L25" s="185"/>
      <c r="M25" s="185"/>
      <c r="N25" s="185"/>
      <c r="O25" s="185"/>
      <c r="P25" s="185"/>
      <c r="Q25" s="185"/>
      <c r="R25" s="185"/>
      <c r="S25" s="185"/>
      <c r="T25" s="185"/>
      <c r="U25" s="185"/>
    </row>
    <row r="26" spans="1:21" x14ac:dyDescent="0.2">
      <c r="A26" s="225">
        <v>8</v>
      </c>
      <c r="B26" s="226">
        <v>0.05</v>
      </c>
      <c r="C26" s="226">
        <f t="shared" si="4"/>
        <v>0.30499999999999999</v>
      </c>
      <c r="D26" s="227">
        <f t="shared" si="5"/>
        <v>110000</v>
      </c>
      <c r="E26" s="228">
        <f t="shared" si="6"/>
        <v>671000</v>
      </c>
      <c r="F26" s="229">
        <f t="shared" si="0"/>
        <v>0.33888888888888891</v>
      </c>
      <c r="G26" s="230" t="s">
        <v>131</v>
      </c>
      <c r="H26" s="231">
        <f t="shared" si="1"/>
        <v>11000</v>
      </c>
      <c r="I26" s="232">
        <f t="shared" si="2"/>
        <v>11000</v>
      </c>
      <c r="J26" s="232">
        <f t="shared" si="3"/>
        <v>110000</v>
      </c>
      <c r="K26" s="234"/>
      <c r="L26" s="185"/>
      <c r="M26" s="185"/>
      <c r="N26" s="185"/>
      <c r="O26" s="185"/>
      <c r="P26" s="185"/>
      <c r="Q26" s="185"/>
      <c r="R26" s="185"/>
      <c r="S26" s="185"/>
      <c r="T26" s="185"/>
      <c r="U26" s="185"/>
    </row>
    <row r="27" spans="1:21" x14ac:dyDescent="0.2">
      <c r="A27" s="225">
        <v>9</v>
      </c>
      <c r="B27" s="226">
        <v>5.5E-2</v>
      </c>
      <c r="C27" s="226">
        <f t="shared" si="4"/>
        <v>0.36</v>
      </c>
      <c r="D27" s="227">
        <f t="shared" si="5"/>
        <v>121000</v>
      </c>
      <c r="E27" s="228">
        <f t="shared" si="6"/>
        <v>792000</v>
      </c>
      <c r="F27" s="229">
        <f t="shared" si="0"/>
        <v>0.4</v>
      </c>
      <c r="G27" s="230" t="s">
        <v>132</v>
      </c>
      <c r="H27" s="231">
        <f t="shared" si="1"/>
        <v>12100</v>
      </c>
      <c r="I27" s="232">
        <f t="shared" si="2"/>
        <v>12100</v>
      </c>
      <c r="J27" s="232">
        <f t="shared" si="3"/>
        <v>121000</v>
      </c>
      <c r="K27" s="234"/>
      <c r="L27" s="185"/>
      <c r="M27" s="185"/>
      <c r="N27" s="185"/>
      <c r="O27" s="185"/>
      <c r="P27" s="185"/>
      <c r="Q27" s="185"/>
      <c r="R27" s="185"/>
      <c r="S27" s="185"/>
      <c r="T27" s="185"/>
      <c r="U27" s="185"/>
    </row>
    <row r="28" spans="1:21" x14ac:dyDescent="0.2">
      <c r="A28" s="225">
        <v>10</v>
      </c>
      <c r="B28" s="226">
        <v>5.5E-2</v>
      </c>
      <c r="C28" s="226">
        <f t="shared" si="4"/>
        <v>0.41499999999999998</v>
      </c>
      <c r="D28" s="227">
        <f t="shared" si="5"/>
        <v>121000</v>
      </c>
      <c r="E28" s="228">
        <f t="shared" si="6"/>
        <v>913000</v>
      </c>
      <c r="F28" s="229">
        <f t="shared" si="0"/>
        <v>0.46111111111111114</v>
      </c>
      <c r="G28" s="230" t="s">
        <v>133</v>
      </c>
      <c r="H28" s="231">
        <f t="shared" si="1"/>
        <v>12100</v>
      </c>
      <c r="I28" s="232">
        <f t="shared" si="2"/>
        <v>12100</v>
      </c>
      <c r="J28" s="232">
        <f t="shared" si="3"/>
        <v>121000</v>
      </c>
      <c r="K28" s="234"/>
      <c r="L28" s="185"/>
      <c r="M28" s="185"/>
      <c r="N28" s="185"/>
      <c r="O28" s="185"/>
      <c r="P28" s="185"/>
      <c r="Q28" s="185"/>
      <c r="R28" s="185"/>
      <c r="S28" s="185"/>
      <c r="T28" s="185"/>
      <c r="U28" s="185"/>
    </row>
    <row r="29" spans="1:21" x14ac:dyDescent="0.2">
      <c r="A29" s="225">
        <v>11</v>
      </c>
      <c r="B29" s="226">
        <v>5.5E-2</v>
      </c>
      <c r="C29" s="226">
        <f t="shared" si="4"/>
        <v>0.47</v>
      </c>
      <c r="D29" s="227">
        <f t="shared" si="5"/>
        <v>121000</v>
      </c>
      <c r="E29" s="228">
        <f t="shared" si="6"/>
        <v>1034000</v>
      </c>
      <c r="F29" s="229">
        <f t="shared" si="0"/>
        <v>0.52222222222222225</v>
      </c>
      <c r="G29" s="230" t="s">
        <v>134</v>
      </c>
      <c r="H29" s="231">
        <f t="shared" si="1"/>
        <v>12100</v>
      </c>
      <c r="I29" s="232">
        <f t="shared" si="2"/>
        <v>12100</v>
      </c>
      <c r="J29" s="232">
        <f t="shared" si="3"/>
        <v>121000</v>
      </c>
      <c r="K29" s="234"/>
      <c r="L29" s="185"/>
      <c r="M29" s="185"/>
      <c r="N29" s="185"/>
      <c r="O29" s="185"/>
      <c r="P29" s="185"/>
      <c r="Q29" s="185"/>
      <c r="R29" s="185"/>
      <c r="S29" s="185"/>
      <c r="T29" s="185"/>
      <c r="U29" s="185"/>
    </row>
    <row r="30" spans="1:21" x14ac:dyDescent="0.2">
      <c r="A30" s="225">
        <v>12</v>
      </c>
      <c r="B30" s="226">
        <v>0.06</v>
      </c>
      <c r="C30" s="226">
        <f t="shared" si="4"/>
        <v>0.53</v>
      </c>
      <c r="D30" s="227">
        <f t="shared" si="5"/>
        <v>132000</v>
      </c>
      <c r="E30" s="228">
        <f t="shared" si="6"/>
        <v>1166000</v>
      </c>
      <c r="F30" s="229">
        <f t="shared" si="0"/>
        <v>0.58888888888888891</v>
      </c>
      <c r="G30" s="230" t="s">
        <v>135</v>
      </c>
      <c r="H30" s="231">
        <f t="shared" si="1"/>
        <v>13200</v>
      </c>
      <c r="I30" s="232">
        <f t="shared" si="2"/>
        <v>13200</v>
      </c>
      <c r="J30" s="232">
        <f t="shared" si="3"/>
        <v>132000</v>
      </c>
      <c r="K30" s="234"/>
      <c r="L30" s="185"/>
      <c r="M30" s="185"/>
      <c r="N30" s="185"/>
      <c r="O30" s="185"/>
      <c r="P30" s="185"/>
      <c r="Q30" s="185"/>
      <c r="R30" s="185"/>
      <c r="S30" s="185"/>
      <c r="T30" s="185"/>
      <c r="U30" s="185"/>
    </row>
    <row r="31" spans="1:21" x14ac:dyDescent="0.2">
      <c r="A31" s="225">
        <v>13</v>
      </c>
      <c r="B31" s="226">
        <v>7.0000000000000007E-2</v>
      </c>
      <c r="C31" s="226">
        <f t="shared" si="4"/>
        <v>0.60000000000000009</v>
      </c>
      <c r="D31" s="227">
        <f t="shared" si="5"/>
        <v>154000</v>
      </c>
      <c r="E31" s="228">
        <f t="shared" si="6"/>
        <v>1320000</v>
      </c>
      <c r="F31" s="229">
        <f t="shared" si="0"/>
        <v>0.66666666666666663</v>
      </c>
      <c r="G31" s="230" t="s">
        <v>136</v>
      </c>
      <c r="H31" s="231">
        <f t="shared" si="1"/>
        <v>15400</v>
      </c>
      <c r="I31" s="232">
        <f t="shared" si="2"/>
        <v>15400</v>
      </c>
      <c r="J31" s="232">
        <f t="shared" si="3"/>
        <v>154000</v>
      </c>
      <c r="K31" s="234"/>
      <c r="L31" s="185"/>
      <c r="M31" s="185"/>
      <c r="N31" s="185"/>
      <c r="O31" s="185"/>
      <c r="P31" s="185"/>
      <c r="Q31" s="185"/>
      <c r="R31" s="185"/>
      <c r="S31" s="185"/>
      <c r="T31" s="185"/>
      <c r="U31" s="185"/>
    </row>
    <row r="32" spans="1:21" x14ac:dyDescent="0.2">
      <c r="A32" s="225">
        <v>14</v>
      </c>
      <c r="B32" s="226">
        <v>7.0000000000000007E-2</v>
      </c>
      <c r="C32" s="226">
        <f t="shared" si="4"/>
        <v>0.67000000000000015</v>
      </c>
      <c r="D32" s="227">
        <f>ROUND(B32*$D$11*(100-$D$14)/100,0)</f>
        <v>154000</v>
      </c>
      <c r="E32" s="228">
        <f t="shared" si="6"/>
        <v>1474000</v>
      </c>
      <c r="F32" s="229">
        <f t="shared" si="0"/>
        <v>0.74444444444444446</v>
      </c>
      <c r="G32" s="230" t="s">
        <v>137</v>
      </c>
      <c r="H32" s="231">
        <f t="shared" si="1"/>
        <v>15400</v>
      </c>
      <c r="I32" s="232">
        <f t="shared" si="2"/>
        <v>15400</v>
      </c>
      <c r="J32" s="232">
        <f t="shared" si="3"/>
        <v>154000</v>
      </c>
      <c r="K32" s="236">
        <f>+SUM(J21:J32)</f>
        <v>1353000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</row>
    <row r="33" spans="1:21" x14ac:dyDescent="0.2">
      <c r="A33" s="225">
        <v>15</v>
      </c>
      <c r="B33" s="226">
        <v>6.5000000000000002E-2</v>
      </c>
      <c r="C33" s="226">
        <f t="shared" si="4"/>
        <v>0.7350000000000001</v>
      </c>
      <c r="D33" s="227">
        <f>ROUND(B33*$D$11*(100-$D$14)/100,0)</f>
        <v>143000</v>
      </c>
      <c r="E33" s="228">
        <f t="shared" si="6"/>
        <v>1617000</v>
      </c>
      <c r="F33" s="229">
        <f t="shared" si="0"/>
        <v>0.81666666666666665</v>
      </c>
      <c r="G33" s="230" t="s">
        <v>138</v>
      </c>
      <c r="H33" s="231">
        <f t="shared" si="1"/>
        <v>14300</v>
      </c>
      <c r="I33" s="232">
        <f t="shared" si="2"/>
        <v>14300</v>
      </c>
      <c r="J33" s="232">
        <f t="shared" si="3"/>
        <v>143000</v>
      </c>
      <c r="K33" s="234"/>
      <c r="L33" s="185"/>
      <c r="M33" s="185"/>
      <c r="N33" s="185"/>
      <c r="O33" s="185"/>
      <c r="P33" s="185"/>
      <c r="Q33" s="185"/>
      <c r="R33" s="185"/>
      <c r="S33" s="185"/>
      <c r="T33" s="185"/>
      <c r="U33" s="185"/>
    </row>
    <row r="34" spans="1:21" x14ac:dyDescent="0.2">
      <c r="A34" s="225">
        <v>16</v>
      </c>
      <c r="B34" s="226">
        <v>6.5000000000000002E-2</v>
      </c>
      <c r="C34" s="226">
        <f>B34+C33</f>
        <v>0.8</v>
      </c>
      <c r="D34" s="227">
        <f>ROUND(B34*$D$11*(100-$D$14)/100,0)</f>
        <v>143000</v>
      </c>
      <c r="E34" s="228">
        <f>E33+D34</f>
        <v>1760000</v>
      </c>
      <c r="F34" s="229">
        <f t="shared" si="0"/>
        <v>0.88888888888888884</v>
      </c>
      <c r="G34" s="230" t="s">
        <v>139</v>
      </c>
      <c r="H34" s="231">
        <f>ROUND(D34*0.1,0)</f>
        <v>14300</v>
      </c>
      <c r="I34" s="232">
        <f t="shared" si="2"/>
        <v>14300</v>
      </c>
      <c r="J34" s="232">
        <f>ROUNDUP(D34*$D$12/100,-(LEN(D34)-$I$15))</f>
        <v>143000</v>
      </c>
      <c r="K34" s="234"/>
      <c r="L34" s="185"/>
      <c r="M34" s="185"/>
      <c r="N34" s="185"/>
      <c r="O34" s="185"/>
      <c r="P34" s="185"/>
      <c r="Q34" s="185"/>
      <c r="R34" s="185"/>
      <c r="S34" s="185"/>
      <c r="T34" s="185"/>
      <c r="U34" s="185"/>
    </row>
    <row r="35" spans="1:21" x14ac:dyDescent="0.2">
      <c r="A35" s="225">
        <v>17</v>
      </c>
      <c r="B35" s="226">
        <v>0.05</v>
      </c>
      <c r="C35" s="226">
        <f>B35+C34</f>
        <v>0.85000000000000009</v>
      </c>
      <c r="D35" s="227">
        <f>ROUND(B35*$D$11*(100-$D$14)/100,0)</f>
        <v>110000</v>
      </c>
      <c r="E35" s="228">
        <f>E34+D35</f>
        <v>1870000</v>
      </c>
      <c r="F35" s="229">
        <f t="shared" si="0"/>
        <v>0.94444444444444442</v>
      </c>
      <c r="G35" s="230" t="s">
        <v>140</v>
      </c>
      <c r="H35" s="231">
        <f>ROUND(D35*0.1,0)</f>
        <v>11000</v>
      </c>
      <c r="I35" s="232">
        <f t="shared" si="2"/>
        <v>11000</v>
      </c>
      <c r="J35" s="232">
        <f>ROUNDUP(D35*$D$12/100,-(LEN(D35)-$I$15))</f>
        <v>110000</v>
      </c>
      <c r="K35" s="234"/>
      <c r="L35" s="185"/>
      <c r="M35" s="185"/>
      <c r="N35" s="185"/>
      <c r="O35" s="185"/>
      <c r="P35" s="185"/>
      <c r="Q35" s="185"/>
      <c r="R35" s="185"/>
      <c r="S35" s="185"/>
      <c r="T35" s="185"/>
      <c r="U35" s="185"/>
    </row>
    <row r="36" spans="1:21" ht="12.75" thickBot="1" x14ac:dyDescent="0.25">
      <c r="A36" s="237">
        <v>18</v>
      </c>
      <c r="B36" s="226">
        <v>0.05</v>
      </c>
      <c r="C36" s="238">
        <f>B36+C35</f>
        <v>0.90000000000000013</v>
      </c>
      <c r="D36" s="239">
        <f>ROUND(B36*$D$11*(100-$D$14)/100,0)</f>
        <v>110000</v>
      </c>
      <c r="E36" s="240">
        <f>E35+D36</f>
        <v>1980000</v>
      </c>
      <c r="F36" s="241">
        <f t="shared" si="0"/>
        <v>1</v>
      </c>
      <c r="G36" s="242" t="s">
        <v>141</v>
      </c>
      <c r="H36" s="243">
        <f>ROUND(D36*0.1,0)</f>
        <v>11000</v>
      </c>
      <c r="I36" s="244">
        <f t="shared" si="2"/>
        <v>11000</v>
      </c>
      <c r="J36" s="244">
        <f>ROUNDUP(D36*$D$12/100,-(LEN(D36)-$I$15))</f>
        <v>110000</v>
      </c>
      <c r="K36" s="236">
        <f>+SUM(J33:J36)</f>
        <v>506000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</row>
    <row r="37" spans="1:21" ht="12.75" thickBot="1" x14ac:dyDescent="0.25">
      <c r="A37" s="225">
        <v>19</v>
      </c>
      <c r="B37" s="226">
        <v>0.04</v>
      </c>
      <c r="C37" s="238">
        <f t="shared" ref="C37:C42" si="7">B37+C36</f>
        <v>0.94000000000000017</v>
      </c>
      <c r="D37" s="239">
        <f t="shared" ref="D37:D42" si="8">ROUND(B37*$D$11*(100-$D$14)/100,0)</f>
        <v>88000</v>
      </c>
      <c r="E37" s="240">
        <f t="shared" ref="E37:E42" si="9">E36+D37</f>
        <v>2068000</v>
      </c>
      <c r="F37" s="241">
        <f t="shared" ref="F37:F42" si="10">E37/$E$36</f>
        <v>1.0444444444444445</v>
      </c>
      <c r="G37" s="242" t="s">
        <v>142</v>
      </c>
      <c r="H37" s="243">
        <f t="shared" ref="H37:H42" si="11">ROUND(D37*0.1,0)</f>
        <v>8800</v>
      </c>
      <c r="I37" s="244">
        <f t="shared" ref="I37:I42" si="12">ROUNDUP((D37+H37-J37),-(LEN(D37)-$I$15))</f>
        <v>8800</v>
      </c>
      <c r="J37" s="244">
        <f t="shared" ref="J37:J42" si="13">ROUNDUP(D37*$D$12/100,-(LEN(D37)-$I$15))</f>
        <v>88000</v>
      </c>
      <c r="K37" s="236"/>
      <c r="L37" s="185"/>
      <c r="M37" s="185"/>
      <c r="N37" s="185"/>
      <c r="O37" s="185"/>
      <c r="P37" s="185"/>
      <c r="Q37" s="185"/>
      <c r="R37" s="185"/>
      <c r="S37" s="185"/>
      <c r="T37" s="185"/>
      <c r="U37" s="185"/>
    </row>
    <row r="38" spans="1:21" ht="12.75" thickBot="1" x14ac:dyDescent="0.25">
      <c r="A38" s="237">
        <v>20</v>
      </c>
      <c r="B38" s="226">
        <v>0.02</v>
      </c>
      <c r="C38" s="238">
        <f t="shared" si="7"/>
        <v>0.96000000000000019</v>
      </c>
      <c r="D38" s="239">
        <f t="shared" si="8"/>
        <v>44000</v>
      </c>
      <c r="E38" s="240">
        <f t="shared" si="9"/>
        <v>2112000</v>
      </c>
      <c r="F38" s="241">
        <f t="shared" si="10"/>
        <v>1.0666666666666667</v>
      </c>
      <c r="G38" s="242" t="s">
        <v>143</v>
      </c>
      <c r="H38" s="243">
        <f t="shared" si="11"/>
        <v>4400</v>
      </c>
      <c r="I38" s="244">
        <f t="shared" si="12"/>
        <v>4400</v>
      </c>
      <c r="J38" s="244">
        <f t="shared" si="13"/>
        <v>44000</v>
      </c>
      <c r="K38" s="236"/>
      <c r="L38" s="185"/>
      <c r="M38" s="185"/>
      <c r="N38" s="185"/>
      <c r="O38" s="185"/>
      <c r="P38" s="185"/>
      <c r="Q38" s="185"/>
      <c r="R38" s="185"/>
      <c r="S38" s="185"/>
      <c r="T38" s="185"/>
      <c r="U38" s="185"/>
    </row>
    <row r="39" spans="1:21" ht="12.75" thickBot="1" x14ac:dyDescent="0.25">
      <c r="A39" s="225">
        <v>21</v>
      </c>
      <c r="B39" s="256">
        <v>0.01</v>
      </c>
      <c r="C39" s="238">
        <f t="shared" si="7"/>
        <v>0.9700000000000002</v>
      </c>
      <c r="D39" s="239">
        <f t="shared" si="8"/>
        <v>22000</v>
      </c>
      <c r="E39" s="240">
        <f t="shared" si="9"/>
        <v>2134000</v>
      </c>
      <c r="F39" s="241">
        <f t="shared" si="10"/>
        <v>1.0777777777777777</v>
      </c>
      <c r="G39" s="242" t="s">
        <v>144</v>
      </c>
      <c r="H39" s="243">
        <f t="shared" si="11"/>
        <v>2200</v>
      </c>
      <c r="I39" s="244">
        <f t="shared" si="12"/>
        <v>2200</v>
      </c>
      <c r="J39" s="244">
        <f t="shared" si="13"/>
        <v>22000</v>
      </c>
      <c r="K39" s="236"/>
      <c r="L39" s="185"/>
      <c r="M39" s="185"/>
      <c r="N39" s="185"/>
      <c r="O39" s="185"/>
      <c r="P39" s="185"/>
      <c r="Q39" s="185"/>
      <c r="R39" s="185"/>
      <c r="S39" s="185"/>
      <c r="T39" s="185"/>
      <c r="U39" s="185"/>
    </row>
    <row r="40" spans="1:21" ht="12.75" thickBot="1" x14ac:dyDescent="0.25">
      <c r="A40" s="237">
        <v>22</v>
      </c>
      <c r="B40" s="226">
        <v>0.01</v>
      </c>
      <c r="C40" s="238">
        <f t="shared" si="7"/>
        <v>0.9800000000000002</v>
      </c>
      <c r="D40" s="239">
        <f t="shared" si="8"/>
        <v>22000</v>
      </c>
      <c r="E40" s="240">
        <f t="shared" si="9"/>
        <v>2156000</v>
      </c>
      <c r="F40" s="241">
        <f t="shared" si="10"/>
        <v>1.0888888888888888</v>
      </c>
      <c r="G40" s="242" t="s">
        <v>145</v>
      </c>
      <c r="H40" s="243">
        <f t="shared" si="11"/>
        <v>2200</v>
      </c>
      <c r="I40" s="244">
        <f t="shared" si="12"/>
        <v>2200</v>
      </c>
      <c r="J40" s="244">
        <f t="shared" si="13"/>
        <v>22000</v>
      </c>
      <c r="K40" s="236"/>
      <c r="L40" s="185"/>
      <c r="M40" s="185"/>
      <c r="N40" s="185"/>
      <c r="O40" s="185"/>
      <c r="P40" s="185"/>
      <c r="Q40" s="185"/>
      <c r="R40" s="185"/>
      <c r="S40" s="185"/>
      <c r="T40" s="185"/>
      <c r="U40" s="185"/>
    </row>
    <row r="41" spans="1:21" ht="12.75" thickBot="1" x14ac:dyDescent="0.25">
      <c r="A41" s="225">
        <v>23</v>
      </c>
      <c r="B41" s="226">
        <v>0.01</v>
      </c>
      <c r="C41" s="238">
        <f t="shared" si="7"/>
        <v>0.99000000000000021</v>
      </c>
      <c r="D41" s="239">
        <f t="shared" si="8"/>
        <v>22000</v>
      </c>
      <c r="E41" s="240">
        <f t="shared" si="9"/>
        <v>2178000</v>
      </c>
      <c r="F41" s="241">
        <f t="shared" si="10"/>
        <v>1.1000000000000001</v>
      </c>
      <c r="G41" s="242" t="s">
        <v>146</v>
      </c>
      <c r="H41" s="243">
        <f t="shared" si="11"/>
        <v>2200</v>
      </c>
      <c r="I41" s="244">
        <f t="shared" si="12"/>
        <v>2200</v>
      </c>
      <c r="J41" s="244">
        <f t="shared" si="13"/>
        <v>22000</v>
      </c>
      <c r="K41" s="236"/>
      <c r="L41" s="185"/>
      <c r="M41" s="185"/>
      <c r="N41" s="185"/>
      <c r="O41" s="185"/>
      <c r="P41" s="185"/>
      <c r="Q41" s="185"/>
      <c r="R41" s="185"/>
      <c r="S41" s="185"/>
      <c r="T41" s="185"/>
      <c r="U41" s="185"/>
    </row>
    <row r="42" spans="1:21" ht="12.75" thickBot="1" x14ac:dyDescent="0.25">
      <c r="A42" s="237">
        <v>24</v>
      </c>
      <c r="B42" s="238">
        <v>0.01</v>
      </c>
      <c r="C42" s="238">
        <f t="shared" si="7"/>
        <v>1.0000000000000002</v>
      </c>
      <c r="D42" s="239">
        <f t="shared" si="8"/>
        <v>22000</v>
      </c>
      <c r="E42" s="240">
        <f t="shared" si="9"/>
        <v>2200000</v>
      </c>
      <c r="F42" s="241">
        <f t="shared" si="10"/>
        <v>1.1111111111111112</v>
      </c>
      <c r="G42" s="242" t="s">
        <v>147</v>
      </c>
      <c r="H42" s="243">
        <f t="shared" si="11"/>
        <v>2200</v>
      </c>
      <c r="I42" s="244">
        <f t="shared" si="12"/>
        <v>2200</v>
      </c>
      <c r="J42" s="244">
        <f t="shared" si="13"/>
        <v>22000</v>
      </c>
      <c r="K42" s="236"/>
      <c r="L42" s="185"/>
      <c r="M42" s="185"/>
      <c r="N42" s="185"/>
      <c r="O42" s="185"/>
      <c r="P42" s="185"/>
      <c r="Q42" s="185"/>
      <c r="R42" s="185"/>
      <c r="S42" s="185"/>
      <c r="T42" s="185"/>
      <c r="U42" s="185"/>
    </row>
    <row r="43" spans="1:21" ht="12.75" thickBot="1" x14ac:dyDescent="0.25">
      <c r="A43" s="245" t="str">
        <f>A42*30 &amp; " dias"</f>
        <v>720 dias</v>
      </c>
      <c r="B43" s="246">
        <f>SUM(B19:B42)</f>
        <v>1.0000000000000002</v>
      </c>
      <c r="C43" s="247"/>
      <c r="D43" s="248">
        <f>SUM(D18:D42)</f>
        <v>2200000</v>
      </c>
      <c r="E43" s="185"/>
      <c r="F43" s="190"/>
      <c r="G43" s="190"/>
      <c r="H43" s="185"/>
      <c r="I43" s="249">
        <f>SUM(I18:I42)</f>
        <v>220000</v>
      </c>
      <c r="J43" s="249">
        <f>SUM(J18:J42)</f>
        <v>2200000</v>
      </c>
      <c r="K43" s="234"/>
      <c r="L43" s="185"/>
      <c r="M43" s="185"/>
      <c r="N43" s="185"/>
      <c r="O43" s="185"/>
      <c r="P43" s="185"/>
      <c r="Q43" s="185"/>
      <c r="R43" s="185"/>
      <c r="S43" s="185"/>
      <c r="T43" s="185"/>
      <c r="U43" s="185"/>
    </row>
    <row r="44" spans="1:21" x14ac:dyDescent="0.2">
      <c r="A44" s="190"/>
      <c r="B44" s="195"/>
      <c r="C44" s="193"/>
      <c r="D44" s="193"/>
      <c r="E44" s="193"/>
      <c r="F44" s="185"/>
      <c r="G44" s="185"/>
      <c r="H44" s="196" t="s">
        <v>235</v>
      </c>
      <c r="I44" s="543">
        <f>I43+J43</f>
        <v>2420000</v>
      </c>
      <c r="J44" s="544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</row>
    <row r="45" spans="1:21" x14ac:dyDescent="0.2">
      <c r="A45" s="189" t="s">
        <v>236</v>
      </c>
      <c r="B45" s="189"/>
      <c r="C45" s="189"/>
      <c r="D45" s="193"/>
      <c r="E45" s="193"/>
      <c r="F45" s="185"/>
      <c r="G45" s="185"/>
      <c r="H45" s="196" t="s">
        <v>237</v>
      </c>
      <c r="I45" s="207">
        <f>I44/1.1-D11</f>
        <v>0</v>
      </c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</row>
    <row r="46" spans="1:21" x14ac:dyDescent="0.2">
      <c r="A46" s="185"/>
      <c r="B46" s="250"/>
      <c r="C46" s="193"/>
      <c r="D46" s="193"/>
      <c r="E46" s="193"/>
      <c r="F46" s="185"/>
      <c r="G46" s="185"/>
      <c r="H46" s="190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</row>
    <row r="47" spans="1:21" x14ac:dyDescent="0.2">
      <c r="A47" s="185"/>
      <c r="B47" s="250"/>
      <c r="C47" s="193"/>
      <c r="D47" s="193"/>
      <c r="E47" s="193"/>
      <c r="F47" s="185"/>
      <c r="G47" s="185"/>
      <c r="H47" s="190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</row>
    <row r="48" spans="1:21" x14ac:dyDescent="0.2">
      <c r="A48" s="185"/>
      <c r="B48" s="195"/>
      <c r="C48" s="193"/>
      <c r="D48" s="193"/>
      <c r="E48" s="193"/>
      <c r="F48" s="185"/>
      <c r="G48" s="185"/>
      <c r="H48" s="190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</row>
    <row r="49" spans="1:27" x14ac:dyDescent="0.2">
      <c r="A49" s="185"/>
      <c r="B49" s="195"/>
      <c r="C49" s="193"/>
      <c r="D49" s="193"/>
      <c r="E49" s="193"/>
      <c r="F49" s="185"/>
      <c r="G49" s="185"/>
      <c r="H49" s="190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</row>
    <row r="50" spans="1:27" x14ac:dyDescent="0.2">
      <c r="A50" s="185"/>
      <c r="B50" s="195"/>
      <c r="C50" s="193"/>
      <c r="D50" s="193"/>
      <c r="E50" s="193"/>
      <c r="F50" s="185"/>
      <c r="G50" s="185"/>
      <c r="H50" s="190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</row>
    <row r="51" spans="1:27" x14ac:dyDescent="0.2">
      <c r="A51" s="185"/>
      <c r="B51" s="195"/>
      <c r="C51" s="193"/>
      <c r="D51" s="193"/>
      <c r="E51" s="193"/>
      <c r="F51" s="185"/>
      <c r="G51" s="185"/>
      <c r="H51" s="190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</row>
    <row r="52" spans="1:27" x14ac:dyDescent="0.2">
      <c r="A52" s="185"/>
      <c r="B52" s="195"/>
      <c r="C52" s="193"/>
      <c r="D52" s="193"/>
      <c r="E52" s="193"/>
      <c r="F52" s="185"/>
      <c r="G52" s="185"/>
      <c r="H52" s="190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7" s="259" customFormat="1" ht="12.75" customHeight="1" x14ac:dyDescent="0.2">
      <c r="A53" s="258"/>
      <c r="B53" s="258" t="s">
        <v>238</v>
      </c>
      <c r="C53" s="258" t="s">
        <v>124</v>
      </c>
      <c r="D53" s="258" t="s">
        <v>125</v>
      </c>
      <c r="E53" s="258" t="s">
        <v>126</v>
      </c>
      <c r="F53" s="258" t="s">
        <v>127</v>
      </c>
      <c r="G53" s="258" t="s">
        <v>128</v>
      </c>
      <c r="H53" s="258" t="s">
        <v>129</v>
      </c>
      <c r="I53" s="258" t="s">
        <v>130</v>
      </c>
      <c r="J53" s="258" t="s">
        <v>131</v>
      </c>
      <c r="K53" s="258" t="s">
        <v>132</v>
      </c>
      <c r="L53" s="258" t="s">
        <v>133</v>
      </c>
      <c r="M53" s="258" t="s">
        <v>134</v>
      </c>
      <c r="N53" s="258" t="s">
        <v>135</v>
      </c>
      <c r="O53" s="258" t="s">
        <v>136</v>
      </c>
      <c r="P53" s="258" t="s">
        <v>137</v>
      </c>
      <c r="Q53" s="258" t="s">
        <v>138</v>
      </c>
      <c r="R53" s="258" t="s">
        <v>139</v>
      </c>
      <c r="S53" s="258" t="s">
        <v>140</v>
      </c>
      <c r="T53" s="258" t="s">
        <v>141</v>
      </c>
      <c r="U53" s="258" t="s">
        <v>142</v>
      </c>
      <c r="V53" s="258" t="s">
        <v>143</v>
      </c>
      <c r="W53" s="258" t="s">
        <v>144</v>
      </c>
      <c r="X53" s="258" t="s">
        <v>145</v>
      </c>
      <c r="Y53" s="258" t="s">
        <v>146</v>
      </c>
      <c r="Z53" s="258" t="s">
        <v>147</v>
      </c>
    </row>
    <row r="54" spans="1:27" s="262" customFormat="1" x14ac:dyDescent="0.2">
      <c r="A54" s="260" t="s">
        <v>239</v>
      </c>
      <c r="B54" s="261">
        <v>0</v>
      </c>
      <c r="C54" s="261">
        <v>0</v>
      </c>
      <c r="D54" s="261">
        <v>0</v>
      </c>
      <c r="E54" s="261">
        <v>0</v>
      </c>
      <c r="F54" s="261">
        <v>0</v>
      </c>
      <c r="G54" s="261">
        <v>0</v>
      </c>
      <c r="H54" s="261">
        <v>0</v>
      </c>
      <c r="I54" s="261">
        <v>0</v>
      </c>
      <c r="J54" s="261">
        <v>0</v>
      </c>
      <c r="K54" s="261">
        <v>0</v>
      </c>
      <c r="L54" s="261">
        <v>0</v>
      </c>
      <c r="M54" s="261">
        <v>0</v>
      </c>
      <c r="N54" s="261">
        <v>0</v>
      </c>
      <c r="O54" s="261">
        <v>0</v>
      </c>
      <c r="P54" s="261">
        <v>0</v>
      </c>
      <c r="Q54" s="261">
        <v>0</v>
      </c>
      <c r="R54" s="261">
        <v>0</v>
      </c>
      <c r="S54" s="261">
        <v>0</v>
      </c>
      <c r="T54" s="261">
        <v>0</v>
      </c>
      <c r="U54" s="261">
        <v>0</v>
      </c>
      <c r="V54" s="261">
        <v>0</v>
      </c>
      <c r="W54" s="261">
        <v>0</v>
      </c>
      <c r="X54" s="261">
        <v>0</v>
      </c>
      <c r="Y54" s="261">
        <v>0</v>
      </c>
      <c r="Z54" s="261">
        <v>0</v>
      </c>
      <c r="AA54" s="262">
        <f>SUM(B54:T54)</f>
        <v>0</v>
      </c>
    </row>
    <row r="55" spans="1:27" s="262" customFormat="1" x14ac:dyDescent="0.2">
      <c r="A55" s="260" t="s">
        <v>240</v>
      </c>
      <c r="B55" s="261">
        <f>$J18</f>
        <v>0</v>
      </c>
      <c r="C55" s="261">
        <f>$J19</f>
        <v>55000</v>
      </c>
      <c r="D55" s="261">
        <f>$J20</f>
        <v>66000</v>
      </c>
      <c r="E55" s="261">
        <f>$J21</f>
        <v>77000</v>
      </c>
      <c r="F55" s="261">
        <f>$J22</f>
        <v>77000</v>
      </c>
      <c r="G55" s="261">
        <f>$J23</f>
        <v>88000</v>
      </c>
      <c r="H55" s="261">
        <f>$J24</f>
        <v>99000</v>
      </c>
      <c r="I55" s="261">
        <f>$J25</f>
        <v>99000</v>
      </c>
      <c r="J55" s="261">
        <f>$J26</f>
        <v>110000</v>
      </c>
      <c r="K55" s="261">
        <f>$J27</f>
        <v>121000</v>
      </c>
      <c r="L55" s="261">
        <f>$J28</f>
        <v>121000</v>
      </c>
      <c r="M55" s="261">
        <f>$J29</f>
        <v>121000</v>
      </c>
      <c r="N55" s="261">
        <f>$J30</f>
        <v>132000</v>
      </c>
      <c r="O55" s="261">
        <f>$J31</f>
        <v>154000</v>
      </c>
      <c r="P55" s="261">
        <f>$J32</f>
        <v>154000</v>
      </c>
      <c r="Q55" s="261">
        <f>$J33</f>
        <v>143000</v>
      </c>
      <c r="R55" s="261">
        <f>$J34</f>
        <v>143000</v>
      </c>
      <c r="S55" s="261">
        <f>$J35</f>
        <v>110000</v>
      </c>
      <c r="T55" s="261">
        <f>$J36</f>
        <v>110000</v>
      </c>
      <c r="U55" s="261">
        <f>$J37</f>
        <v>88000</v>
      </c>
      <c r="V55" s="261">
        <f>$J38</f>
        <v>44000</v>
      </c>
      <c r="W55" s="261">
        <f>$J39</f>
        <v>22000</v>
      </c>
      <c r="X55" s="261">
        <f>$J40</f>
        <v>22000</v>
      </c>
      <c r="Y55" s="261">
        <f>$J41</f>
        <v>22000</v>
      </c>
      <c r="Z55" s="261">
        <f>$J42</f>
        <v>22000</v>
      </c>
      <c r="AA55" s="263">
        <f>SUM(B55:Z55)</f>
        <v>2200000</v>
      </c>
    </row>
    <row r="56" spans="1:27" x14ac:dyDescent="0.2">
      <c r="A56" s="264" t="s">
        <v>244</v>
      </c>
      <c r="B56" s="265">
        <f>SUM(B54:B55)</f>
        <v>0</v>
      </c>
      <c r="C56" s="265">
        <f>SUM(C54:C55)*0.45</f>
        <v>24750</v>
      </c>
      <c r="D56" s="265">
        <f t="shared" ref="D56:Z56" si="14">SUM(D54:D55)*0.45</f>
        <v>29700</v>
      </c>
      <c r="E56" s="265">
        <f t="shared" si="14"/>
        <v>34650</v>
      </c>
      <c r="F56" s="265">
        <f t="shared" si="14"/>
        <v>34650</v>
      </c>
      <c r="G56" s="265">
        <f t="shared" si="14"/>
        <v>39600</v>
      </c>
      <c r="H56" s="265">
        <f t="shared" si="14"/>
        <v>44550</v>
      </c>
      <c r="I56" s="265">
        <f t="shared" si="14"/>
        <v>44550</v>
      </c>
      <c r="J56" s="265">
        <f t="shared" si="14"/>
        <v>49500</v>
      </c>
      <c r="K56" s="265">
        <f t="shared" si="14"/>
        <v>54450</v>
      </c>
      <c r="L56" s="265">
        <f t="shared" si="14"/>
        <v>54450</v>
      </c>
      <c r="M56" s="265">
        <f t="shared" si="14"/>
        <v>54450</v>
      </c>
      <c r="N56" s="265">
        <f t="shared" si="14"/>
        <v>59400</v>
      </c>
      <c r="O56" s="265">
        <f t="shared" si="14"/>
        <v>69300</v>
      </c>
      <c r="P56" s="265">
        <f t="shared" si="14"/>
        <v>69300</v>
      </c>
      <c r="Q56" s="265">
        <f t="shared" si="14"/>
        <v>64350</v>
      </c>
      <c r="R56" s="265">
        <f t="shared" si="14"/>
        <v>64350</v>
      </c>
      <c r="S56" s="265">
        <f t="shared" si="14"/>
        <v>49500</v>
      </c>
      <c r="T56" s="265">
        <f t="shared" si="14"/>
        <v>49500</v>
      </c>
      <c r="U56" s="265">
        <f t="shared" si="14"/>
        <v>39600</v>
      </c>
      <c r="V56" s="265">
        <f t="shared" si="14"/>
        <v>19800</v>
      </c>
      <c r="W56" s="265">
        <f t="shared" si="14"/>
        <v>9900</v>
      </c>
      <c r="X56" s="265">
        <f t="shared" si="14"/>
        <v>9900</v>
      </c>
      <c r="Y56" s="265">
        <f t="shared" si="14"/>
        <v>9900</v>
      </c>
      <c r="Z56" s="265">
        <f t="shared" si="14"/>
        <v>9900</v>
      </c>
      <c r="AA56" s="265">
        <f>SUM(B56:Z56)</f>
        <v>990000</v>
      </c>
    </row>
    <row r="57" spans="1:27" s="263" customFormat="1" x14ac:dyDescent="0.2">
      <c r="A57" s="266" t="s">
        <v>245</v>
      </c>
      <c r="B57" s="266">
        <v>0</v>
      </c>
      <c r="C57" s="266">
        <f>C63</f>
        <v>41250</v>
      </c>
      <c r="D57" s="266">
        <f t="shared" ref="D57:T57" si="15">C57</f>
        <v>41250</v>
      </c>
      <c r="E57" s="266">
        <f t="shared" si="15"/>
        <v>41250</v>
      </c>
      <c r="F57" s="266">
        <f t="shared" si="15"/>
        <v>41250</v>
      </c>
      <c r="G57" s="266">
        <f t="shared" si="15"/>
        <v>41250</v>
      </c>
      <c r="H57" s="266">
        <f t="shared" si="15"/>
        <v>41250</v>
      </c>
      <c r="I57" s="266">
        <f t="shared" si="15"/>
        <v>41250</v>
      </c>
      <c r="J57" s="266">
        <f t="shared" si="15"/>
        <v>41250</v>
      </c>
      <c r="K57" s="266">
        <f t="shared" si="15"/>
        <v>41250</v>
      </c>
      <c r="L57" s="266">
        <f t="shared" si="15"/>
        <v>41250</v>
      </c>
      <c r="M57" s="266">
        <f t="shared" si="15"/>
        <v>41250</v>
      </c>
      <c r="N57" s="266">
        <f t="shared" si="15"/>
        <v>41250</v>
      </c>
      <c r="O57" s="266">
        <f t="shared" si="15"/>
        <v>41250</v>
      </c>
      <c r="P57" s="266">
        <f t="shared" si="15"/>
        <v>41250</v>
      </c>
      <c r="Q57" s="266">
        <f t="shared" si="15"/>
        <v>41250</v>
      </c>
      <c r="R57" s="266">
        <f t="shared" si="15"/>
        <v>41250</v>
      </c>
      <c r="S57" s="266">
        <f t="shared" si="15"/>
        <v>41250</v>
      </c>
      <c r="T57" s="266">
        <f t="shared" si="15"/>
        <v>41250</v>
      </c>
      <c r="U57" s="266">
        <f t="shared" ref="U57" si="16">T57</f>
        <v>41250</v>
      </c>
      <c r="V57" s="266">
        <f t="shared" ref="V57" si="17">U57</f>
        <v>41250</v>
      </c>
      <c r="W57" s="266">
        <f t="shared" ref="W57" si="18">V57</f>
        <v>41250</v>
      </c>
      <c r="X57" s="266">
        <f t="shared" ref="X57" si="19">W57</f>
        <v>41250</v>
      </c>
      <c r="Y57" s="266">
        <f t="shared" ref="Y57" si="20">X57</f>
        <v>41250</v>
      </c>
      <c r="Z57" s="266">
        <f t="shared" ref="Z57" si="21">Y57</f>
        <v>41250</v>
      </c>
      <c r="AA57" s="265">
        <f>SUM(B57:Z57)</f>
        <v>990000</v>
      </c>
    </row>
    <row r="58" spans="1:27" s="263" customFormat="1" x14ac:dyDescent="0.2">
      <c r="A58" s="266" t="s">
        <v>238</v>
      </c>
      <c r="B58" s="266">
        <f>A61*10%</f>
        <v>220000</v>
      </c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5">
        <f>SUM(B58:Z58)</f>
        <v>220000</v>
      </c>
    </row>
    <row r="59" spans="1:27" s="263" customFormat="1" x14ac:dyDescent="0.2">
      <c r="A59" s="266"/>
      <c r="B59" s="266">
        <f>SUM(B56:B58)</f>
        <v>220000</v>
      </c>
      <c r="C59" s="266">
        <f t="shared" ref="C59:T59" si="22">SUM(C56:C58)</f>
        <v>66000</v>
      </c>
      <c r="D59" s="266">
        <f t="shared" si="22"/>
        <v>70950</v>
      </c>
      <c r="E59" s="266">
        <f t="shared" si="22"/>
        <v>75900</v>
      </c>
      <c r="F59" s="266">
        <f t="shared" si="22"/>
        <v>75900</v>
      </c>
      <c r="G59" s="266">
        <f t="shared" si="22"/>
        <v>80850</v>
      </c>
      <c r="H59" s="266">
        <f t="shared" si="22"/>
        <v>85800</v>
      </c>
      <c r="I59" s="266">
        <f t="shared" si="22"/>
        <v>85800</v>
      </c>
      <c r="J59" s="266">
        <f t="shared" si="22"/>
        <v>90750</v>
      </c>
      <c r="K59" s="266">
        <f t="shared" si="22"/>
        <v>95700</v>
      </c>
      <c r="L59" s="266">
        <f t="shared" si="22"/>
        <v>95700</v>
      </c>
      <c r="M59" s="266">
        <f t="shared" si="22"/>
        <v>95700</v>
      </c>
      <c r="N59" s="266">
        <f t="shared" si="22"/>
        <v>100650</v>
      </c>
      <c r="O59" s="266">
        <f t="shared" si="22"/>
        <v>110550</v>
      </c>
      <c r="P59" s="266">
        <f t="shared" si="22"/>
        <v>110550</v>
      </c>
      <c r="Q59" s="266">
        <f t="shared" si="22"/>
        <v>105600</v>
      </c>
      <c r="R59" s="266">
        <f t="shared" si="22"/>
        <v>105600</v>
      </c>
      <c r="S59" s="266">
        <f t="shared" si="22"/>
        <v>90750</v>
      </c>
      <c r="T59" s="266">
        <f t="shared" si="22"/>
        <v>90750</v>
      </c>
      <c r="U59" s="266">
        <f t="shared" ref="U59:Z59" si="23">SUM(U56:U58)</f>
        <v>80850</v>
      </c>
      <c r="V59" s="266">
        <f t="shared" si="23"/>
        <v>61050</v>
      </c>
      <c r="W59" s="266">
        <f t="shared" si="23"/>
        <v>51150</v>
      </c>
      <c r="X59" s="266">
        <f t="shared" si="23"/>
        <v>51150</v>
      </c>
      <c r="Y59" s="266">
        <f t="shared" si="23"/>
        <v>51150</v>
      </c>
      <c r="Z59" s="266">
        <f t="shared" si="23"/>
        <v>51150</v>
      </c>
      <c r="AA59" s="265">
        <f>SUM(B59:Z59)</f>
        <v>2200000</v>
      </c>
    </row>
    <row r="60" spans="1:27" s="262" customFormat="1" x14ac:dyDescent="0.2">
      <c r="C60" s="262">
        <f>B60/A61</f>
        <v>0</v>
      </c>
    </row>
    <row r="61" spans="1:27" s="262" customFormat="1" x14ac:dyDescent="0.2">
      <c r="A61" s="262">
        <f>+'3. PEP'!G30</f>
        <v>2200000</v>
      </c>
    </row>
    <row r="62" spans="1:27" s="262" customFormat="1" x14ac:dyDescent="0.2">
      <c r="A62" s="262">
        <f>A61*0.1</f>
        <v>220000</v>
      </c>
    </row>
    <row r="63" spans="1:27" s="262" customFormat="1" x14ac:dyDescent="0.2">
      <c r="A63" s="262">
        <f>A61*0.45</f>
        <v>990000</v>
      </c>
      <c r="C63" s="262">
        <f>A63/24</f>
        <v>41250</v>
      </c>
    </row>
    <row r="64" spans="1:27" s="262" customFormat="1" x14ac:dyDescent="0.2"/>
  </sheetData>
  <mergeCells count="6">
    <mergeCell ref="I44:J44"/>
    <mergeCell ref="A1:J1"/>
    <mergeCell ref="B3:I4"/>
    <mergeCell ref="A5:C5"/>
    <mergeCell ref="D7:F7"/>
    <mergeCell ref="C15:D15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4"/>
  <sheetViews>
    <sheetView showGridLines="0" topLeftCell="A19" zoomScale="80" zoomScaleNormal="80" workbookViewId="0">
      <selection activeCell="AB56" sqref="AB56"/>
    </sheetView>
  </sheetViews>
  <sheetFormatPr defaultColWidth="11.42578125" defaultRowHeight="12" x14ac:dyDescent="0.2"/>
  <cols>
    <col min="1" max="1" width="17.42578125" style="257" customWidth="1"/>
    <col min="2" max="2" width="14.28515625" style="257" customWidth="1"/>
    <col min="3" max="3" width="16.85546875" style="257" customWidth="1"/>
    <col min="4" max="4" width="13.7109375" style="257" bestFit="1" customWidth="1"/>
    <col min="5" max="5" width="13.5703125" style="257" customWidth="1"/>
    <col min="6" max="6" width="18.28515625" style="257" customWidth="1"/>
    <col min="7" max="7" width="17.5703125" style="257" bestFit="1" customWidth="1"/>
    <col min="8" max="8" width="17.42578125" style="257" bestFit="1" customWidth="1"/>
    <col min="9" max="9" width="13.85546875" style="257" bestFit="1" customWidth="1"/>
    <col min="10" max="10" width="16.42578125" style="257" bestFit="1" customWidth="1"/>
    <col min="11" max="11" width="13.7109375" style="257" bestFit="1" customWidth="1"/>
    <col min="12" max="12" width="15.7109375" style="257" bestFit="1" customWidth="1"/>
    <col min="13" max="13" width="15.28515625" style="257" bestFit="1" customWidth="1"/>
    <col min="14" max="20" width="13.7109375" style="257" bestFit="1" customWidth="1"/>
    <col min="21" max="21" width="14.7109375" style="257" bestFit="1" customWidth="1"/>
    <col min="22" max="16384" width="11.42578125" style="257"/>
  </cols>
  <sheetData>
    <row r="1" spans="1:21" ht="15.75" customHeight="1" x14ac:dyDescent="0.2">
      <c r="A1" s="545" t="s">
        <v>210</v>
      </c>
      <c r="B1" s="545"/>
      <c r="C1" s="545"/>
      <c r="D1" s="545"/>
      <c r="E1" s="545"/>
      <c r="F1" s="545"/>
      <c r="G1" s="545"/>
      <c r="H1" s="545"/>
      <c r="I1" s="545"/>
      <c r="J1" s="54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x14ac:dyDescent="0.2">
      <c r="A2" s="186"/>
      <c r="B2" s="187"/>
      <c r="C2" s="188"/>
      <c r="D2" s="188"/>
      <c r="E2" s="189"/>
      <c r="F2" s="189"/>
      <c r="G2" s="185"/>
      <c r="H2" s="190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x14ac:dyDescent="0.2">
      <c r="A3" s="186" t="s">
        <v>211</v>
      </c>
      <c r="B3" s="546" t="s">
        <v>243</v>
      </c>
      <c r="C3" s="546"/>
      <c r="D3" s="546"/>
      <c r="E3" s="546"/>
      <c r="F3" s="546"/>
      <c r="G3" s="546"/>
      <c r="H3" s="546"/>
      <c r="I3" s="546"/>
      <c r="J3" s="191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 x14ac:dyDescent="0.2">
      <c r="A4" s="192"/>
      <c r="B4" s="546"/>
      <c r="C4" s="546"/>
      <c r="D4" s="546"/>
      <c r="E4" s="546"/>
      <c r="F4" s="546"/>
      <c r="G4" s="546"/>
      <c r="H4" s="546"/>
      <c r="I4" s="546"/>
      <c r="J4" s="191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</row>
    <row r="5" spans="1:21" x14ac:dyDescent="0.2">
      <c r="A5" s="547" t="str">
        <f>CONCATENATE("PLAZO: ",A36," MESES (",A43,")")</f>
        <v>PLAZO: 18 MESES (720 dias)</v>
      </c>
      <c r="B5" s="547"/>
      <c r="C5" s="547"/>
      <c r="D5" s="193"/>
      <c r="E5" s="194" t="s">
        <v>212</v>
      </c>
      <c r="F5" s="185" t="s">
        <v>213</v>
      </c>
      <c r="G5" s="185"/>
      <c r="H5" s="190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</row>
    <row r="6" spans="1:21" x14ac:dyDescent="0.2">
      <c r="A6" s="185"/>
      <c r="B6" s="195"/>
      <c r="C6" s="193"/>
      <c r="D6" s="193"/>
      <c r="E6" s="193"/>
      <c r="F6" s="185"/>
      <c r="G6" s="185"/>
      <c r="H6" s="190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</row>
    <row r="7" spans="1:21" x14ac:dyDescent="0.2">
      <c r="A7" s="185"/>
      <c r="B7" s="195"/>
      <c r="C7" s="196" t="s">
        <v>214</v>
      </c>
      <c r="D7" s="548"/>
      <c r="E7" s="548"/>
      <c r="F7" s="548"/>
      <c r="G7" s="185"/>
      <c r="H7" s="196" t="s">
        <v>215</v>
      </c>
      <c r="I7" s="197">
        <f ca="1">NOW()</f>
        <v>42618.498752893516</v>
      </c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</row>
    <row r="8" spans="1:21" x14ac:dyDescent="0.2">
      <c r="A8" s="185"/>
      <c r="B8" s="195"/>
      <c r="C8" s="196" t="str">
        <f>IF(D7=0,"MONTO ESTIMADO CON IVA:","MONTO DE CONTRATO CON IVA:")</f>
        <v>MONTO ESTIMADO CON IVA:</v>
      </c>
      <c r="D8" s="198">
        <f>+A61</f>
        <v>1800000</v>
      </c>
      <c r="E8" s="199" t="s">
        <v>216</v>
      </c>
      <c r="F8" s="185" t="s">
        <v>217</v>
      </c>
      <c r="G8" s="185"/>
      <c r="H8" s="190" t="s">
        <v>218</v>
      </c>
      <c r="I8" s="200">
        <v>1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</row>
    <row r="9" spans="1:21" x14ac:dyDescent="0.2">
      <c r="A9" s="185"/>
      <c r="B9" s="195"/>
      <c r="C9" s="196"/>
      <c r="D9" s="198"/>
      <c r="E9" s="193" t="s">
        <v>219</v>
      </c>
      <c r="F9" s="185"/>
      <c r="G9" s="185"/>
      <c r="H9" s="190"/>
      <c r="I9" s="201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</row>
    <row r="10" spans="1:21" x14ac:dyDescent="0.2">
      <c r="A10" s="185"/>
      <c r="B10" s="195"/>
      <c r="C10" s="196"/>
      <c r="D10" s="198"/>
      <c r="E10" s="193" t="s">
        <v>216</v>
      </c>
      <c r="F10" s="185"/>
      <c r="G10" s="185"/>
      <c r="H10" s="190"/>
      <c r="I10" s="201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</row>
    <row r="11" spans="1:21" x14ac:dyDescent="0.2">
      <c r="A11" s="185"/>
      <c r="B11" s="185"/>
      <c r="C11" s="196" t="str">
        <f>IF(D7=0,"MONTO ESTIMADO SIN IVA:","MONTO DE CONTRATO SIN IVA:")</f>
        <v>MONTO ESTIMADO SIN IVA:</v>
      </c>
      <c r="D11" s="202">
        <f>D8</f>
        <v>1800000</v>
      </c>
      <c r="E11" s="203" t="s">
        <v>219</v>
      </c>
      <c r="F11" s="193"/>
      <c r="G11" s="185"/>
      <c r="H11" s="190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</row>
    <row r="12" spans="1:21" x14ac:dyDescent="0.2">
      <c r="A12" s="185"/>
      <c r="B12" s="185"/>
      <c r="C12" s="196" t="s">
        <v>220</v>
      </c>
      <c r="D12" s="200">
        <v>100</v>
      </c>
      <c r="E12" s="193"/>
      <c r="F12" s="193" t="s">
        <v>221</v>
      </c>
      <c r="G12" s="185"/>
      <c r="H12" s="190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</row>
    <row r="13" spans="1:21" x14ac:dyDescent="0.2">
      <c r="A13" s="185"/>
      <c r="B13" s="185"/>
      <c r="C13" s="196" t="s">
        <v>222</v>
      </c>
      <c r="D13" s="204">
        <f>100-D12</f>
        <v>0</v>
      </c>
      <c r="E13" s="193"/>
      <c r="F13" s="193"/>
      <c r="G13" s="185"/>
      <c r="H13" s="190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</row>
    <row r="14" spans="1:21" x14ac:dyDescent="0.2">
      <c r="A14" s="185"/>
      <c r="B14" s="185"/>
      <c r="C14" s="196" t="s">
        <v>223</v>
      </c>
      <c r="D14" s="201">
        <v>0</v>
      </c>
      <c r="E14" s="193"/>
      <c r="F14" s="193"/>
      <c r="G14" s="185"/>
      <c r="H14" s="190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</row>
    <row r="15" spans="1:21" x14ac:dyDescent="0.2">
      <c r="A15" s="185"/>
      <c r="B15" s="196" t="s">
        <v>224</v>
      </c>
      <c r="C15" s="549"/>
      <c r="D15" s="549"/>
      <c r="E15" s="205" t="s">
        <v>225</v>
      </c>
      <c r="F15" s="206"/>
      <c r="G15" s="185"/>
      <c r="H15" s="207" t="s">
        <v>226</v>
      </c>
      <c r="I15" s="200">
        <v>10</v>
      </c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</row>
    <row r="16" spans="1:21" ht="12.75" thickBot="1" x14ac:dyDescent="0.25">
      <c r="A16" s="185"/>
      <c r="B16" s="195"/>
      <c r="C16" s="193"/>
      <c r="D16" s="193"/>
      <c r="E16" s="193"/>
      <c r="F16" s="208"/>
      <c r="G16" s="185"/>
      <c r="H16" s="190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</row>
    <row r="17" spans="1:21" ht="48.75" thickBot="1" x14ac:dyDescent="0.25">
      <c r="A17" s="209" t="s">
        <v>227</v>
      </c>
      <c r="B17" s="210" t="s">
        <v>228</v>
      </c>
      <c r="C17" s="210" t="s">
        <v>229</v>
      </c>
      <c r="D17" s="211" t="str">
        <f>CONCATENATE("MONTO MENSUAL DESCONTADO ",ROUND(D14,0),"% ANTICIPO")</f>
        <v>MONTO MENSUAL DESCONTADO 0% ANTICIPO</v>
      </c>
      <c r="E17" s="212" t="s">
        <v>230</v>
      </c>
      <c r="F17" s="213" t="s">
        <v>231</v>
      </c>
      <c r="G17" s="214" t="s">
        <v>232</v>
      </c>
      <c r="H17" s="215" t="s">
        <v>233</v>
      </c>
      <c r="I17" s="216" t="str">
        <f>CONCATENATE("DESEMBOLSOS FONDO LOCAL (",ROUND(D13,0),"%) + IVA")</f>
        <v>DESEMBOLSOS FONDO LOCAL (0%) + IVA</v>
      </c>
      <c r="J17" s="216" t="str">
        <f>CONCATENATE("DESEMBOLSOS FONDO EXTERNO (",ROUND(D12,0),"%)")</f>
        <v>DESEMBOLSOS FONDO EXTERNO (100%)</v>
      </c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</row>
    <row r="18" spans="1:21" x14ac:dyDescent="0.2">
      <c r="A18" s="217">
        <v>0</v>
      </c>
      <c r="B18" s="218">
        <f>D14/100</f>
        <v>0</v>
      </c>
      <c r="C18" s="218">
        <v>0</v>
      </c>
      <c r="D18" s="219">
        <f>ROUND(B18*D11,0)</f>
        <v>0</v>
      </c>
      <c r="E18" s="220">
        <f>D18</f>
        <v>0</v>
      </c>
      <c r="F18" s="221">
        <f t="shared" ref="F18:F42" si="0">E18/$E$36</f>
        <v>0</v>
      </c>
      <c r="G18" s="222" t="s">
        <v>234</v>
      </c>
      <c r="H18" s="223">
        <f t="shared" ref="H18:H33" si="1">ROUND(D18*0.1,0)</f>
        <v>0</v>
      </c>
      <c r="I18" s="224">
        <v>0</v>
      </c>
      <c r="J18" s="224">
        <f t="shared" ref="J18:J33" si="2">ROUNDUP(D18*$D$12/100,-(LEN(D18)-$I$15))</f>
        <v>0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</row>
    <row r="19" spans="1:21" x14ac:dyDescent="0.2">
      <c r="A19" s="225">
        <v>1</v>
      </c>
      <c r="B19" s="226">
        <v>2.5000000000000001E-2</v>
      </c>
      <c r="C19" s="226">
        <f t="shared" ref="C19:C33" si="3">B19+C18</f>
        <v>2.5000000000000001E-2</v>
      </c>
      <c r="D19" s="227">
        <f>ROUND(B19*$D$11*(100-$D$14)/100,0)</f>
        <v>45000</v>
      </c>
      <c r="E19" s="228">
        <f>E18+D19</f>
        <v>45000</v>
      </c>
      <c r="F19" s="229">
        <f t="shared" si="0"/>
        <v>2.7777777777777776E-2</v>
      </c>
      <c r="G19" s="230" t="s">
        <v>124</v>
      </c>
      <c r="H19" s="231">
        <f>ROUND(D19*0.1,0)</f>
        <v>4500</v>
      </c>
      <c r="I19" s="232">
        <f>ROUNDUP((D19+H19-J19),-(LEN(D19)-$I$15))</f>
        <v>4500</v>
      </c>
      <c r="J19" s="232">
        <f>ROUNDUP(D19*$D$12/100,-(LEN(D19)-$I$15))</f>
        <v>45000</v>
      </c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</row>
    <row r="20" spans="1:21" x14ac:dyDescent="0.2">
      <c r="A20" s="225">
        <v>2</v>
      </c>
      <c r="B20" s="226">
        <v>0.03</v>
      </c>
      <c r="C20" s="226">
        <f t="shared" si="3"/>
        <v>5.5E-2</v>
      </c>
      <c r="D20" s="227">
        <f t="shared" ref="D20:D31" si="4">ROUND(B20*$D$11*(100-$D$14)/100,0)</f>
        <v>54000</v>
      </c>
      <c r="E20" s="228">
        <f t="shared" ref="E20:E33" si="5">E19+D20</f>
        <v>99000</v>
      </c>
      <c r="F20" s="229">
        <f t="shared" si="0"/>
        <v>6.1111111111111109E-2</v>
      </c>
      <c r="G20" s="230" t="s">
        <v>125</v>
      </c>
      <c r="H20" s="231">
        <f t="shared" si="1"/>
        <v>5400</v>
      </c>
      <c r="I20" s="232">
        <f t="shared" ref="I20:I42" si="6">ROUNDUP((D20+H20-J20),-(LEN(D20)-$I$15))</f>
        <v>5400</v>
      </c>
      <c r="J20" s="232">
        <f t="shared" si="2"/>
        <v>54000</v>
      </c>
      <c r="K20" s="233">
        <f>+SUM(J18:J20)</f>
        <v>99000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</row>
    <row r="21" spans="1:21" x14ac:dyDescent="0.2">
      <c r="A21" s="225">
        <v>3</v>
      </c>
      <c r="B21" s="226">
        <v>3.5000000000000003E-2</v>
      </c>
      <c r="C21" s="226">
        <f t="shared" si="3"/>
        <v>0.09</v>
      </c>
      <c r="D21" s="227">
        <f t="shared" si="4"/>
        <v>63000</v>
      </c>
      <c r="E21" s="228">
        <f t="shared" si="5"/>
        <v>162000</v>
      </c>
      <c r="F21" s="229">
        <f t="shared" si="0"/>
        <v>0.1</v>
      </c>
      <c r="G21" s="230" t="s">
        <v>126</v>
      </c>
      <c r="H21" s="231">
        <f t="shared" si="1"/>
        <v>6300</v>
      </c>
      <c r="I21" s="232">
        <f t="shared" si="6"/>
        <v>6300</v>
      </c>
      <c r="J21" s="232">
        <f t="shared" si="2"/>
        <v>63000</v>
      </c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</row>
    <row r="22" spans="1:21" x14ac:dyDescent="0.2">
      <c r="A22" s="225">
        <v>4</v>
      </c>
      <c r="B22" s="226">
        <v>3.5000000000000003E-2</v>
      </c>
      <c r="C22" s="226">
        <f t="shared" si="3"/>
        <v>0.125</v>
      </c>
      <c r="D22" s="227">
        <f t="shared" si="4"/>
        <v>63000</v>
      </c>
      <c r="E22" s="228">
        <f t="shared" si="5"/>
        <v>225000</v>
      </c>
      <c r="F22" s="229">
        <f t="shared" si="0"/>
        <v>0.1388888888888889</v>
      </c>
      <c r="G22" s="230" t="s">
        <v>127</v>
      </c>
      <c r="H22" s="231">
        <f t="shared" si="1"/>
        <v>6300</v>
      </c>
      <c r="I22" s="232">
        <f t="shared" si="6"/>
        <v>6300</v>
      </c>
      <c r="J22" s="232">
        <f t="shared" si="2"/>
        <v>63000</v>
      </c>
      <c r="K22" s="234"/>
      <c r="L22" s="185"/>
      <c r="M22" s="185"/>
      <c r="N22" s="185"/>
      <c r="O22" s="185"/>
      <c r="P22" s="185"/>
      <c r="Q22" s="185"/>
      <c r="R22" s="185"/>
      <c r="S22" s="185"/>
      <c r="T22" s="185"/>
      <c r="U22" s="185"/>
    </row>
    <row r="23" spans="1:21" x14ac:dyDescent="0.2">
      <c r="A23" s="225">
        <v>5</v>
      </c>
      <c r="B23" s="226">
        <v>0.04</v>
      </c>
      <c r="C23" s="226">
        <f t="shared" si="3"/>
        <v>0.16500000000000001</v>
      </c>
      <c r="D23" s="227">
        <f t="shared" si="4"/>
        <v>72000</v>
      </c>
      <c r="E23" s="228">
        <f t="shared" si="5"/>
        <v>297000</v>
      </c>
      <c r="F23" s="229">
        <f t="shared" si="0"/>
        <v>0.18333333333333332</v>
      </c>
      <c r="G23" s="230" t="s">
        <v>128</v>
      </c>
      <c r="H23" s="231">
        <f t="shared" si="1"/>
        <v>7200</v>
      </c>
      <c r="I23" s="232">
        <f t="shared" si="6"/>
        <v>7200</v>
      </c>
      <c r="J23" s="232">
        <f t="shared" si="2"/>
        <v>72000</v>
      </c>
      <c r="K23" s="234"/>
      <c r="L23" s="185"/>
      <c r="M23" s="185"/>
      <c r="N23" s="185"/>
      <c r="O23" s="185"/>
      <c r="P23" s="185"/>
      <c r="Q23" s="185"/>
      <c r="R23" s="185"/>
      <c r="S23" s="185"/>
      <c r="T23" s="185"/>
      <c r="U23" s="185"/>
    </row>
    <row r="24" spans="1:21" x14ac:dyDescent="0.2">
      <c r="A24" s="225">
        <v>6</v>
      </c>
      <c r="B24" s="226">
        <v>4.4999999999999998E-2</v>
      </c>
      <c r="C24" s="226">
        <f t="shared" si="3"/>
        <v>0.21000000000000002</v>
      </c>
      <c r="D24" s="227">
        <f t="shared" si="4"/>
        <v>81000</v>
      </c>
      <c r="E24" s="228">
        <f>E23+D24</f>
        <v>378000</v>
      </c>
      <c r="F24" s="229">
        <f t="shared" si="0"/>
        <v>0.23333333333333334</v>
      </c>
      <c r="G24" s="230" t="s">
        <v>129</v>
      </c>
      <c r="H24" s="231">
        <f>ROUND(D24*0.1,0)</f>
        <v>8100</v>
      </c>
      <c r="I24" s="232">
        <f>ROUNDUP((D24+H24-J24),-(LEN(D24)-$I$15))</f>
        <v>8100</v>
      </c>
      <c r="J24" s="232">
        <f>ROUNDUP(D24*$D$12/100,-(LEN(D24)-$I$15))</f>
        <v>81000</v>
      </c>
      <c r="K24" s="234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  <row r="25" spans="1:21" x14ac:dyDescent="0.2">
      <c r="A25" s="225">
        <v>7</v>
      </c>
      <c r="B25" s="226">
        <v>4.4999999999999998E-2</v>
      </c>
      <c r="C25" s="226">
        <f t="shared" si="3"/>
        <v>0.255</v>
      </c>
      <c r="D25" s="227">
        <f t="shared" si="4"/>
        <v>81000</v>
      </c>
      <c r="E25" s="228">
        <f t="shared" si="5"/>
        <v>459000</v>
      </c>
      <c r="F25" s="229">
        <f t="shared" si="0"/>
        <v>0.28333333333333333</v>
      </c>
      <c r="G25" s="230" t="s">
        <v>130</v>
      </c>
      <c r="H25" s="231">
        <f t="shared" si="1"/>
        <v>8100</v>
      </c>
      <c r="I25" s="232">
        <f t="shared" si="6"/>
        <v>8100</v>
      </c>
      <c r="J25" s="232">
        <f t="shared" si="2"/>
        <v>81000</v>
      </c>
      <c r="K25" s="235"/>
      <c r="L25" s="185"/>
      <c r="M25" s="185"/>
      <c r="N25" s="185"/>
      <c r="O25" s="185"/>
      <c r="P25" s="185"/>
      <c r="Q25" s="185"/>
      <c r="R25" s="185"/>
      <c r="S25" s="185"/>
      <c r="T25" s="185"/>
      <c r="U25" s="185"/>
    </row>
    <row r="26" spans="1:21" x14ac:dyDescent="0.2">
      <c r="A26" s="225">
        <v>8</v>
      </c>
      <c r="B26" s="226">
        <v>0.05</v>
      </c>
      <c r="C26" s="226">
        <f t="shared" si="3"/>
        <v>0.30499999999999999</v>
      </c>
      <c r="D26" s="227">
        <f t="shared" si="4"/>
        <v>90000</v>
      </c>
      <c r="E26" s="228">
        <f t="shared" si="5"/>
        <v>549000</v>
      </c>
      <c r="F26" s="229">
        <f t="shared" si="0"/>
        <v>0.33888888888888891</v>
      </c>
      <c r="G26" s="230" t="s">
        <v>131</v>
      </c>
      <c r="H26" s="231">
        <f t="shared" si="1"/>
        <v>9000</v>
      </c>
      <c r="I26" s="232">
        <f t="shared" si="6"/>
        <v>9000</v>
      </c>
      <c r="J26" s="232">
        <f t="shared" si="2"/>
        <v>90000</v>
      </c>
      <c r="K26" s="234"/>
      <c r="L26" s="185"/>
      <c r="M26" s="185"/>
      <c r="N26" s="185"/>
      <c r="O26" s="185"/>
      <c r="P26" s="185"/>
      <c r="Q26" s="185"/>
      <c r="R26" s="185"/>
      <c r="S26" s="185"/>
      <c r="T26" s="185"/>
      <c r="U26" s="185"/>
    </row>
    <row r="27" spans="1:21" x14ac:dyDescent="0.2">
      <c r="A27" s="225">
        <v>9</v>
      </c>
      <c r="B27" s="226">
        <v>5.5E-2</v>
      </c>
      <c r="C27" s="226">
        <f t="shared" si="3"/>
        <v>0.36</v>
      </c>
      <c r="D27" s="227">
        <f t="shared" si="4"/>
        <v>99000</v>
      </c>
      <c r="E27" s="228">
        <f t="shared" si="5"/>
        <v>648000</v>
      </c>
      <c r="F27" s="229">
        <f t="shared" si="0"/>
        <v>0.4</v>
      </c>
      <c r="G27" s="230" t="s">
        <v>132</v>
      </c>
      <c r="H27" s="231">
        <f t="shared" si="1"/>
        <v>9900</v>
      </c>
      <c r="I27" s="232">
        <f t="shared" si="6"/>
        <v>9900</v>
      </c>
      <c r="J27" s="232">
        <f t="shared" si="2"/>
        <v>99000</v>
      </c>
      <c r="K27" s="234"/>
      <c r="L27" s="185"/>
      <c r="M27" s="185"/>
      <c r="N27" s="185"/>
      <c r="O27" s="185"/>
      <c r="P27" s="185"/>
      <c r="Q27" s="185"/>
      <c r="R27" s="185"/>
      <c r="S27" s="185"/>
      <c r="T27" s="185"/>
      <c r="U27" s="185"/>
    </row>
    <row r="28" spans="1:21" x14ac:dyDescent="0.2">
      <c r="A28" s="225">
        <v>10</v>
      </c>
      <c r="B28" s="226">
        <v>5.5E-2</v>
      </c>
      <c r="C28" s="226">
        <f t="shared" si="3"/>
        <v>0.41499999999999998</v>
      </c>
      <c r="D28" s="227">
        <f t="shared" si="4"/>
        <v>99000</v>
      </c>
      <c r="E28" s="228">
        <f t="shared" si="5"/>
        <v>747000</v>
      </c>
      <c r="F28" s="229">
        <f t="shared" si="0"/>
        <v>0.46111111111111114</v>
      </c>
      <c r="G28" s="230" t="s">
        <v>133</v>
      </c>
      <c r="H28" s="231">
        <f t="shared" si="1"/>
        <v>9900</v>
      </c>
      <c r="I28" s="232">
        <f t="shared" si="6"/>
        <v>9900</v>
      </c>
      <c r="J28" s="232">
        <f t="shared" si="2"/>
        <v>99000</v>
      </c>
      <c r="K28" s="234"/>
      <c r="L28" s="185"/>
      <c r="M28" s="185"/>
      <c r="N28" s="185"/>
      <c r="O28" s="185"/>
      <c r="P28" s="185"/>
      <c r="Q28" s="185"/>
      <c r="R28" s="185"/>
      <c r="S28" s="185"/>
      <c r="T28" s="185"/>
      <c r="U28" s="185"/>
    </row>
    <row r="29" spans="1:21" x14ac:dyDescent="0.2">
      <c r="A29" s="225">
        <v>11</v>
      </c>
      <c r="B29" s="226">
        <v>5.5E-2</v>
      </c>
      <c r="C29" s="226">
        <f t="shared" si="3"/>
        <v>0.47</v>
      </c>
      <c r="D29" s="227">
        <f t="shared" si="4"/>
        <v>99000</v>
      </c>
      <c r="E29" s="228">
        <f t="shared" si="5"/>
        <v>846000</v>
      </c>
      <c r="F29" s="229">
        <f t="shared" si="0"/>
        <v>0.52222222222222225</v>
      </c>
      <c r="G29" s="230" t="s">
        <v>134</v>
      </c>
      <c r="H29" s="231">
        <f t="shared" si="1"/>
        <v>9900</v>
      </c>
      <c r="I29" s="232">
        <f t="shared" si="6"/>
        <v>9900</v>
      </c>
      <c r="J29" s="232">
        <f t="shared" si="2"/>
        <v>99000</v>
      </c>
      <c r="K29" s="234"/>
      <c r="L29" s="185"/>
      <c r="M29" s="185"/>
      <c r="N29" s="185"/>
      <c r="O29" s="185"/>
      <c r="P29" s="185"/>
      <c r="Q29" s="185"/>
      <c r="R29" s="185"/>
      <c r="S29" s="185"/>
      <c r="T29" s="185"/>
      <c r="U29" s="185"/>
    </row>
    <row r="30" spans="1:21" x14ac:dyDescent="0.2">
      <c r="A30" s="225">
        <v>12</v>
      </c>
      <c r="B30" s="226">
        <v>0.06</v>
      </c>
      <c r="C30" s="226">
        <f t="shared" si="3"/>
        <v>0.53</v>
      </c>
      <c r="D30" s="227">
        <f t="shared" si="4"/>
        <v>108000</v>
      </c>
      <c r="E30" s="228">
        <f t="shared" si="5"/>
        <v>954000</v>
      </c>
      <c r="F30" s="229">
        <f t="shared" si="0"/>
        <v>0.58888888888888891</v>
      </c>
      <c r="G30" s="230" t="s">
        <v>135</v>
      </c>
      <c r="H30" s="231">
        <f t="shared" si="1"/>
        <v>10800</v>
      </c>
      <c r="I30" s="232">
        <f t="shared" si="6"/>
        <v>10800</v>
      </c>
      <c r="J30" s="232">
        <f t="shared" si="2"/>
        <v>108000</v>
      </c>
      <c r="K30" s="234"/>
      <c r="L30" s="185"/>
      <c r="M30" s="185"/>
      <c r="N30" s="185"/>
      <c r="O30" s="185"/>
      <c r="P30" s="185"/>
      <c r="Q30" s="185"/>
      <c r="R30" s="185"/>
      <c r="S30" s="185"/>
      <c r="T30" s="185"/>
      <c r="U30" s="185"/>
    </row>
    <row r="31" spans="1:21" x14ac:dyDescent="0.2">
      <c r="A31" s="225">
        <v>13</v>
      </c>
      <c r="B31" s="226">
        <v>7.0000000000000007E-2</v>
      </c>
      <c r="C31" s="226">
        <f t="shared" si="3"/>
        <v>0.60000000000000009</v>
      </c>
      <c r="D31" s="227">
        <f t="shared" si="4"/>
        <v>126000</v>
      </c>
      <c r="E31" s="228">
        <f t="shared" si="5"/>
        <v>1080000</v>
      </c>
      <c r="F31" s="229">
        <f t="shared" si="0"/>
        <v>0.66666666666666663</v>
      </c>
      <c r="G31" s="230" t="s">
        <v>136</v>
      </c>
      <c r="H31" s="231">
        <f t="shared" si="1"/>
        <v>12600</v>
      </c>
      <c r="I31" s="232">
        <f t="shared" si="6"/>
        <v>12600</v>
      </c>
      <c r="J31" s="232">
        <f t="shared" si="2"/>
        <v>126000</v>
      </c>
      <c r="K31" s="234"/>
      <c r="L31" s="185"/>
      <c r="M31" s="185"/>
      <c r="N31" s="185"/>
      <c r="O31" s="185"/>
      <c r="P31" s="185"/>
      <c r="Q31" s="185"/>
      <c r="R31" s="185"/>
      <c r="S31" s="185"/>
      <c r="T31" s="185"/>
      <c r="U31" s="185"/>
    </row>
    <row r="32" spans="1:21" x14ac:dyDescent="0.2">
      <c r="A32" s="225">
        <v>14</v>
      </c>
      <c r="B32" s="226">
        <v>7.0000000000000007E-2</v>
      </c>
      <c r="C32" s="226">
        <f t="shared" si="3"/>
        <v>0.67000000000000015</v>
      </c>
      <c r="D32" s="227">
        <f>ROUND(B32*$D$11*(100-$D$14)/100,0)</f>
        <v>126000</v>
      </c>
      <c r="E32" s="228">
        <f t="shared" si="5"/>
        <v>1206000</v>
      </c>
      <c r="F32" s="229">
        <f t="shared" si="0"/>
        <v>0.74444444444444446</v>
      </c>
      <c r="G32" s="230" t="s">
        <v>137</v>
      </c>
      <c r="H32" s="231">
        <f t="shared" si="1"/>
        <v>12600</v>
      </c>
      <c r="I32" s="232">
        <f t="shared" si="6"/>
        <v>12600</v>
      </c>
      <c r="J32" s="232">
        <f t="shared" si="2"/>
        <v>126000</v>
      </c>
      <c r="K32" s="236">
        <f>+SUM(J21:J32)</f>
        <v>1107000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</row>
    <row r="33" spans="1:21" x14ac:dyDescent="0.2">
      <c r="A33" s="225">
        <v>15</v>
      </c>
      <c r="B33" s="226">
        <v>6.5000000000000002E-2</v>
      </c>
      <c r="C33" s="226">
        <f t="shared" si="3"/>
        <v>0.7350000000000001</v>
      </c>
      <c r="D33" s="227">
        <f>ROUND(B33*$D$11*(100-$D$14)/100,0)</f>
        <v>117000</v>
      </c>
      <c r="E33" s="228">
        <f t="shared" si="5"/>
        <v>1323000</v>
      </c>
      <c r="F33" s="229">
        <f t="shared" si="0"/>
        <v>0.81666666666666665</v>
      </c>
      <c r="G33" s="230" t="s">
        <v>138</v>
      </c>
      <c r="H33" s="231">
        <f t="shared" si="1"/>
        <v>11700</v>
      </c>
      <c r="I33" s="232">
        <f t="shared" si="6"/>
        <v>11700</v>
      </c>
      <c r="J33" s="232">
        <f t="shared" si="2"/>
        <v>117000</v>
      </c>
      <c r="K33" s="234"/>
      <c r="L33" s="185"/>
      <c r="M33" s="185"/>
      <c r="N33" s="185"/>
      <c r="O33" s="185"/>
      <c r="P33" s="185"/>
      <c r="Q33" s="185"/>
      <c r="R33" s="185"/>
      <c r="S33" s="185"/>
      <c r="T33" s="185"/>
      <c r="U33" s="185"/>
    </row>
    <row r="34" spans="1:21" x14ac:dyDescent="0.2">
      <c r="A34" s="225">
        <v>16</v>
      </c>
      <c r="B34" s="226">
        <v>6.5000000000000002E-2</v>
      </c>
      <c r="C34" s="226">
        <f>B34+C33</f>
        <v>0.8</v>
      </c>
      <c r="D34" s="227">
        <f>ROUND(B34*$D$11*(100-$D$14)/100,0)</f>
        <v>117000</v>
      </c>
      <c r="E34" s="228">
        <f>E33+D34</f>
        <v>1440000</v>
      </c>
      <c r="F34" s="229">
        <f t="shared" si="0"/>
        <v>0.88888888888888884</v>
      </c>
      <c r="G34" s="230" t="s">
        <v>139</v>
      </c>
      <c r="H34" s="231">
        <f>ROUND(D34*0.1,0)</f>
        <v>11700</v>
      </c>
      <c r="I34" s="232">
        <f t="shared" si="6"/>
        <v>11700</v>
      </c>
      <c r="J34" s="232">
        <f>ROUNDUP(D34*$D$12/100,-(LEN(D34)-$I$15))</f>
        <v>117000</v>
      </c>
      <c r="K34" s="234"/>
      <c r="L34" s="185"/>
      <c r="M34" s="185"/>
      <c r="N34" s="185"/>
      <c r="O34" s="185"/>
      <c r="P34" s="185"/>
      <c r="Q34" s="185"/>
      <c r="R34" s="185"/>
      <c r="S34" s="185"/>
      <c r="T34" s="185"/>
      <c r="U34" s="185"/>
    </row>
    <row r="35" spans="1:21" x14ac:dyDescent="0.2">
      <c r="A35" s="225">
        <v>17</v>
      </c>
      <c r="B35" s="226">
        <v>0.05</v>
      </c>
      <c r="C35" s="226">
        <f>B35+C34</f>
        <v>0.85000000000000009</v>
      </c>
      <c r="D35" s="227">
        <f>ROUND(B35*$D$11*(100-$D$14)/100,0)</f>
        <v>90000</v>
      </c>
      <c r="E35" s="228">
        <f>E34+D35</f>
        <v>1530000</v>
      </c>
      <c r="F35" s="229">
        <f t="shared" si="0"/>
        <v>0.94444444444444442</v>
      </c>
      <c r="G35" s="230" t="s">
        <v>140</v>
      </c>
      <c r="H35" s="231">
        <f>ROUND(D35*0.1,0)</f>
        <v>9000</v>
      </c>
      <c r="I35" s="232">
        <f t="shared" si="6"/>
        <v>9000</v>
      </c>
      <c r="J35" s="232">
        <f>ROUNDUP(D35*$D$12/100,-(LEN(D35)-$I$15))</f>
        <v>90000</v>
      </c>
      <c r="K35" s="234"/>
      <c r="L35" s="185"/>
      <c r="M35" s="185"/>
      <c r="N35" s="185"/>
      <c r="O35" s="185"/>
      <c r="P35" s="185"/>
      <c r="Q35" s="185"/>
      <c r="R35" s="185"/>
      <c r="S35" s="185"/>
      <c r="T35" s="185"/>
      <c r="U35" s="185"/>
    </row>
    <row r="36" spans="1:21" ht="12.75" thickBot="1" x14ac:dyDescent="0.25">
      <c r="A36" s="237">
        <v>18</v>
      </c>
      <c r="B36" s="226">
        <v>0.05</v>
      </c>
      <c r="C36" s="238">
        <f>B36+C35</f>
        <v>0.90000000000000013</v>
      </c>
      <c r="D36" s="239">
        <f>ROUND(B36*$D$11*(100-$D$14)/100,0)</f>
        <v>90000</v>
      </c>
      <c r="E36" s="240">
        <f>E35+D36</f>
        <v>1620000</v>
      </c>
      <c r="F36" s="241">
        <f t="shared" si="0"/>
        <v>1</v>
      </c>
      <c r="G36" s="242" t="s">
        <v>141</v>
      </c>
      <c r="H36" s="243">
        <f>ROUND(D36*0.1,0)</f>
        <v>9000</v>
      </c>
      <c r="I36" s="244">
        <f t="shared" si="6"/>
        <v>9000</v>
      </c>
      <c r="J36" s="244">
        <f>ROUNDUP(D36*$D$12/100,-(LEN(D36)-$I$15))</f>
        <v>90000</v>
      </c>
      <c r="K36" s="236">
        <f>+SUM(J33:J36)</f>
        <v>414000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</row>
    <row r="37" spans="1:21" ht="12.75" thickBot="1" x14ac:dyDescent="0.25">
      <c r="A37" s="225">
        <v>19</v>
      </c>
      <c r="B37" s="226">
        <v>0.04</v>
      </c>
      <c r="C37" s="238">
        <f t="shared" ref="C37:C42" si="7">B37+C36</f>
        <v>0.94000000000000017</v>
      </c>
      <c r="D37" s="239">
        <f t="shared" ref="D37:D42" si="8">ROUND(B37*$D$11*(100-$D$14)/100,0)</f>
        <v>72000</v>
      </c>
      <c r="E37" s="240">
        <f t="shared" ref="E37:E42" si="9">E36+D37</f>
        <v>1692000</v>
      </c>
      <c r="F37" s="241">
        <f t="shared" si="0"/>
        <v>1.0444444444444445</v>
      </c>
      <c r="G37" s="242" t="s">
        <v>142</v>
      </c>
      <c r="H37" s="243">
        <f t="shared" ref="H37:H42" si="10">ROUND(D37*0.1,0)</f>
        <v>7200</v>
      </c>
      <c r="I37" s="244">
        <f t="shared" si="6"/>
        <v>7200</v>
      </c>
      <c r="J37" s="244">
        <f t="shared" ref="J37:J42" si="11">ROUNDUP(D37*$D$12/100,-(LEN(D37)-$I$15))</f>
        <v>72000</v>
      </c>
      <c r="K37" s="236"/>
      <c r="L37" s="185"/>
      <c r="M37" s="185"/>
      <c r="N37" s="185"/>
      <c r="O37" s="185"/>
      <c r="P37" s="185"/>
      <c r="Q37" s="185"/>
      <c r="R37" s="185"/>
      <c r="S37" s="185"/>
      <c r="T37" s="185"/>
      <c r="U37" s="185"/>
    </row>
    <row r="38" spans="1:21" ht="12.75" thickBot="1" x14ac:dyDescent="0.25">
      <c r="A38" s="237">
        <v>20</v>
      </c>
      <c r="B38" s="226">
        <v>0.02</v>
      </c>
      <c r="C38" s="238">
        <f t="shared" si="7"/>
        <v>0.96000000000000019</v>
      </c>
      <c r="D38" s="239">
        <f t="shared" si="8"/>
        <v>36000</v>
      </c>
      <c r="E38" s="240">
        <f t="shared" si="9"/>
        <v>1728000</v>
      </c>
      <c r="F38" s="241">
        <f t="shared" si="0"/>
        <v>1.0666666666666667</v>
      </c>
      <c r="G38" s="242" t="s">
        <v>143</v>
      </c>
      <c r="H38" s="243">
        <f t="shared" si="10"/>
        <v>3600</v>
      </c>
      <c r="I38" s="244">
        <f t="shared" si="6"/>
        <v>3600</v>
      </c>
      <c r="J38" s="244">
        <f t="shared" si="11"/>
        <v>36000</v>
      </c>
      <c r="K38" s="236"/>
      <c r="L38" s="185"/>
      <c r="M38" s="185"/>
      <c r="N38" s="185"/>
      <c r="O38" s="185"/>
      <c r="P38" s="185"/>
      <c r="Q38" s="185"/>
      <c r="R38" s="185"/>
      <c r="S38" s="185"/>
      <c r="T38" s="185"/>
      <c r="U38" s="185"/>
    </row>
    <row r="39" spans="1:21" ht="12.75" thickBot="1" x14ac:dyDescent="0.25">
      <c r="A39" s="225">
        <v>21</v>
      </c>
      <c r="B39" s="256">
        <v>0.01</v>
      </c>
      <c r="C39" s="238">
        <f t="shared" si="7"/>
        <v>0.9700000000000002</v>
      </c>
      <c r="D39" s="239">
        <f t="shared" si="8"/>
        <v>18000</v>
      </c>
      <c r="E39" s="240">
        <f t="shared" si="9"/>
        <v>1746000</v>
      </c>
      <c r="F39" s="241">
        <f t="shared" si="0"/>
        <v>1.0777777777777777</v>
      </c>
      <c r="G39" s="242" t="s">
        <v>144</v>
      </c>
      <c r="H39" s="243">
        <f t="shared" si="10"/>
        <v>1800</v>
      </c>
      <c r="I39" s="244">
        <f t="shared" si="6"/>
        <v>1800</v>
      </c>
      <c r="J39" s="244">
        <f t="shared" si="11"/>
        <v>18000</v>
      </c>
      <c r="K39" s="236"/>
      <c r="L39" s="185"/>
      <c r="M39" s="185"/>
      <c r="N39" s="185"/>
      <c r="O39" s="185"/>
      <c r="P39" s="185"/>
      <c r="Q39" s="185"/>
      <c r="R39" s="185"/>
      <c r="S39" s="185"/>
      <c r="T39" s="185"/>
      <c r="U39" s="185"/>
    </row>
    <row r="40" spans="1:21" ht="12.75" thickBot="1" x14ac:dyDescent="0.25">
      <c r="A40" s="237">
        <v>22</v>
      </c>
      <c r="B40" s="226">
        <v>0.01</v>
      </c>
      <c r="C40" s="238">
        <f t="shared" si="7"/>
        <v>0.9800000000000002</v>
      </c>
      <c r="D40" s="239">
        <f t="shared" si="8"/>
        <v>18000</v>
      </c>
      <c r="E40" s="240">
        <f t="shared" si="9"/>
        <v>1764000</v>
      </c>
      <c r="F40" s="241">
        <f t="shared" si="0"/>
        <v>1.0888888888888888</v>
      </c>
      <c r="G40" s="242" t="s">
        <v>145</v>
      </c>
      <c r="H40" s="243">
        <f t="shared" si="10"/>
        <v>1800</v>
      </c>
      <c r="I40" s="244">
        <f t="shared" si="6"/>
        <v>1800</v>
      </c>
      <c r="J40" s="244">
        <f t="shared" si="11"/>
        <v>18000</v>
      </c>
      <c r="K40" s="236"/>
      <c r="L40" s="185"/>
      <c r="M40" s="185"/>
      <c r="N40" s="185"/>
      <c r="O40" s="185"/>
      <c r="P40" s="185"/>
      <c r="Q40" s="185"/>
      <c r="R40" s="185"/>
      <c r="S40" s="185"/>
      <c r="T40" s="185"/>
      <c r="U40" s="185"/>
    </row>
    <row r="41" spans="1:21" ht="12.75" thickBot="1" x14ac:dyDescent="0.25">
      <c r="A41" s="225">
        <v>23</v>
      </c>
      <c r="B41" s="226">
        <v>0.01</v>
      </c>
      <c r="C41" s="238">
        <f t="shared" si="7"/>
        <v>0.99000000000000021</v>
      </c>
      <c r="D41" s="239">
        <f t="shared" si="8"/>
        <v>18000</v>
      </c>
      <c r="E41" s="240">
        <f t="shared" si="9"/>
        <v>1782000</v>
      </c>
      <c r="F41" s="241">
        <f t="shared" si="0"/>
        <v>1.1000000000000001</v>
      </c>
      <c r="G41" s="242" t="s">
        <v>146</v>
      </c>
      <c r="H41" s="243">
        <f t="shared" si="10"/>
        <v>1800</v>
      </c>
      <c r="I41" s="244">
        <f t="shared" si="6"/>
        <v>1800</v>
      </c>
      <c r="J41" s="244">
        <f t="shared" si="11"/>
        <v>18000</v>
      </c>
      <c r="K41" s="236"/>
      <c r="L41" s="185"/>
      <c r="M41" s="185"/>
      <c r="N41" s="185"/>
      <c r="O41" s="185"/>
      <c r="P41" s="185"/>
      <c r="Q41" s="185"/>
      <c r="R41" s="185"/>
      <c r="S41" s="185"/>
      <c r="T41" s="185"/>
      <c r="U41" s="185"/>
    </row>
    <row r="42" spans="1:21" ht="12.75" thickBot="1" x14ac:dyDescent="0.25">
      <c r="A42" s="237">
        <v>24</v>
      </c>
      <c r="B42" s="238">
        <v>0.01</v>
      </c>
      <c r="C42" s="238">
        <f t="shared" si="7"/>
        <v>1.0000000000000002</v>
      </c>
      <c r="D42" s="239">
        <f t="shared" si="8"/>
        <v>18000</v>
      </c>
      <c r="E42" s="240">
        <f t="shared" si="9"/>
        <v>1800000</v>
      </c>
      <c r="F42" s="241">
        <f t="shared" si="0"/>
        <v>1.1111111111111112</v>
      </c>
      <c r="G42" s="242" t="s">
        <v>147</v>
      </c>
      <c r="H42" s="243">
        <f t="shared" si="10"/>
        <v>1800</v>
      </c>
      <c r="I42" s="244">
        <f t="shared" si="6"/>
        <v>1800</v>
      </c>
      <c r="J42" s="244">
        <f t="shared" si="11"/>
        <v>18000</v>
      </c>
      <c r="K42" s="236"/>
      <c r="L42" s="185"/>
      <c r="M42" s="185"/>
      <c r="N42" s="185"/>
      <c r="O42" s="185"/>
      <c r="P42" s="185"/>
      <c r="Q42" s="185"/>
      <c r="R42" s="185"/>
      <c r="S42" s="185"/>
      <c r="T42" s="185"/>
      <c r="U42" s="185"/>
    </row>
    <row r="43" spans="1:21" ht="12.75" thickBot="1" x14ac:dyDescent="0.25">
      <c r="A43" s="245" t="str">
        <f>A42*30 &amp; " dias"</f>
        <v>720 dias</v>
      </c>
      <c r="B43" s="246">
        <f>SUM(B19:B42)</f>
        <v>1.0000000000000002</v>
      </c>
      <c r="C43" s="247"/>
      <c r="D43" s="248">
        <f>SUM(D18:D42)</f>
        <v>1800000</v>
      </c>
      <c r="E43" s="185"/>
      <c r="F43" s="190"/>
      <c r="G43" s="190"/>
      <c r="H43" s="185"/>
      <c r="I43" s="249">
        <f>SUM(I18:I42)</f>
        <v>180000</v>
      </c>
      <c r="J43" s="249">
        <f>SUM(J18:J42)</f>
        <v>1800000</v>
      </c>
      <c r="K43" s="234"/>
      <c r="L43" s="185"/>
      <c r="M43" s="185"/>
      <c r="N43" s="185"/>
      <c r="O43" s="185"/>
      <c r="P43" s="185"/>
      <c r="Q43" s="185"/>
      <c r="R43" s="185"/>
      <c r="S43" s="185"/>
      <c r="T43" s="185"/>
      <c r="U43" s="185"/>
    </row>
    <row r="44" spans="1:21" x14ac:dyDescent="0.2">
      <c r="A44" s="190"/>
      <c r="B44" s="195"/>
      <c r="C44" s="193"/>
      <c r="D44" s="193"/>
      <c r="E44" s="193"/>
      <c r="F44" s="185"/>
      <c r="G44" s="185"/>
      <c r="H44" s="196" t="s">
        <v>235</v>
      </c>
      <c r="I44" s="543">
        <f>I43+J43</f>
        <v>1980000</v>
      </c>
      <c r="J44" s="544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</row>
    <row r="45" spans="1:21" x14ac:dyDescent="0.2">
      <c r="A45" s="189" t="s">
        <v>236</v>
      </c>
      <c r="B45" s="189"/>
      <c r="C45" s="189"/>
      <c r="D45" s="193"/>
      <c r="E45" s="193"/>
      <c r="F45" s="185"/>
      <c r="G45" s="185"/>
      <c r="H45" s="196" t="s">
        <v>237</v>
      </c>
      <c r="I45" s="207">
        <f>I44/1.1-D11</f>
        <v>0</v>
      </c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</row>
    <row r="46" spans="1:21" x14ac:dyDescent="0.2">
      <c r="A46" s="185"/>
      <c r="B46" s="250"/>
      <c r="C46" s="193"/>
      <c r="D46" s="193"/>
      <c r="E46" s="193"/>
      <c r="F46" s="185"/>
      <c r="G46" s="185"/>
      <c r="H46" s="190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</row>
    <row r="47" spans="1:21" x14ac:dyDescent="0.2">
      <c r="A47" s="185"/>
      <c r="B47" s="250"/>
      <c r="C47" s="193"/>
      <c r="D47" s="193"/>
      <c r="E47" s="193"/>
      <c r="F47" s="185"/>
      <c r="G47" s="185"/>
      <c r="H47" s="190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</row>
    <row r="48" spans="1:21" x14ac:dyDescent="0.2">
      <c r="A48" s="185"/>
      <c r="B48" s="195"/>
      <c r="C48" s="193"/>
      <c r="D48" s="193"/>
      <c r="E48" s="193"/>
      <c r="F48" s="185"/>
      <c r="G48" s="185"/>
      <c r="H48" s="190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</row>
    <row r="49" spans="1:27" x14ac:dyDescent="0.2">
      <c r="A49" s="185"/>
      <c r="B49" s="195"/>
      <c r="C49" s="193"/>
      <c r="D49" s="193"/>
      <c r="E49" s="193"/>
      <c r="F49" s="185"/>
      <c r="G49" s="185"/>
      <c r="H49" s="190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</row>
    <row r="50" spans="1:27" x14ac:dyDescent="0.2">
      <c r="A50" s="185"/>
      <c r="B50" s="195"/>
      <c r="C50" s="193"/>
      <c r="D50" s="193"/>
      <c r="E50" s="193"/>
      <c r="F50" s="185"/>
      <c r="G50" s="185"/>
      <c r="H50" s="190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</row>
    <row r="51" spans="1:27" x14ac:dyDescent="0.2">
      <c r="A51" s="185"/>
      <c r="B51" s="195"/>
      <c r="C51" s="193"/>
      <c r="D51" s="193"/>
      <c r="E51" s="193"/>
      <c r="F51" s="185"/>
      <c r="G51" s="185"/>
      <c r="H51" s="190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</row>
    <row r="52" spans="1:27" x14ac:dyDescent="0.2">
      <c r="A52" s="185"/>
      <c r="B52" s="195"/>
      <c r="C52" s="193"/>
      <c r="D52" s="193"/>
      <c r="E52" s="193"/>
      <c r="F52" s="185"/>
      <c r="G52" s="185"/>
      <c r="H52" s="190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7" s="259" customFormat="1" ht="12.75" customHeight="1" x14ac:dyDescent="0.2">
      <c r="A53" s="258"/>
      <c r="B53" s="258" t="s">
        <v>238</v>
      </c>
      <c r="C53" s="258" t="s">
        <v>124</v>
      </c>
      <c r="D53" s="258" t="s">
        <v>125</v>
      </c>
      <c r="E53" s="258" t="s">
        <v>126</v>
      </c>
      <c r="F53" s="258" t="s">
        <v>127</v>
      </c>
      <c r="G53" s="258" t="s">
        <v>128</v>
      </c>
      <c r="H53" s="258" t="s">
        <v>129</v>
      </c>
      <c r="I53" s="258" t="s">
        <v>130</v>
      </c>
      <c r="J53" s="258" t="s">
        <v>131</v>
      </c>
      <c r="K53" s="258" t="s">
        <v>132</v>
      </c>
      <c r="L53" s="258" t="s">
        <v>133</v>
      </c>
      <c r="M53" s="258" t="s">
        <v>134</v>
      </c>
      <c r="N53" s="258" t="s">
        <v>135</v>
      </c>
      <c r="O53" s="258" t="s">
        <v>136</v>
      </c>
      <c r="P53" s="258" t="s">
        <v>137</v>
      </c>
      <c r="Q53" s="258" t="s">
        <v>138</v>
      </c>
      <c r="R53" s="258" t="s">
        <v>139</v>
      </c>
      <c r="S53" s="258" t="s">
        <v>140</v>
      </c>
      <c r="T53" s="258" t="s">
        <v>141</v>
      </c>
      <c r="U53" s="258" t="s">
        <v>142</v>
      </c>
      <c r="V53" s="258" t="s">
        <v>143</v>
      </c>
      <c r="W53" s="258" t="s">
        <v>144</v>
      </c>
      <c r="X53" s="258" t="s">
        <v>145</v>
      </c>
      <c r="Y53" s="258" t="s">
        <v>146</v>
      </c>
      <c r="Z53" s="258" t="s">
        <v>147</v>
      </c>
    </row>
    <row r="54" spans="1:27" s="262" customFormat="1" x14ac:dyDescent="0.2">
      <c r="A54" s="260" t="s">
        <v>239</v>
      </c>
      <c r="B54" s="261">
        <v>0</v>
      </c>
      <c r="C54" s="261">
        <v>0</v>
      </c>
      <c r="D54" s="261">
        <v>0</v>
      </c>
      <c r="E54" s="261">
        <v>0</v>
      </c>
      <c r="F54" s="261">
        <v>0</v>
      </c>
      <c r="G54" s="261">
        <v>0</v>
      </c>
      <c r="H54" s="261">
        <v>0</v>
      </c>
      <c r="I54" s="261">
        <v>0</v>
      </c>
      <c r="J54" s="261">
        <v>0</v>
      </c>
      <c r="K54" s="261">
        <v>0</v>
      </c>
      <c r="L54" s="261">
        <v>0</v>
      </c>
      <c r="M54" s="261">
        <v>0</v>
      </c>
      <c r="N54" s="261">
        <v>0</v>
      </c>
      <c r="O54" s="261">
        <v>0</v>
      </c>
      <c r="P54" s="261">
        <v>0</v>
      </c>
      <c r="Q54" s="261">
        <v>0</v>
      </c>
      <c r="R54" s="261">
        <v>0</v>
      </c>
      <c r="S54" s="261">
        <v>0</v>
      </c>
      <c r="T54" s="261">
        <v>0</v>
      </c>
      <c r="U54" s="261">
        <v>0</v>
      </c>
      <c r="V54" s="261">
        <v>0</v>
      </c>
      <c r="W54" s="261">
        <v>0</v>
      </c>
      <c r="X54" s="261">
        <v>0</v>
      </c>
      <c r="Y54" s="261">
        <v>0</v>
      </c>
      <c r="Z54" s="261">
        <v>0</v>
      </c>
      <c r="AA54" s="262">
        <f>SUM(B54:T54)</f>
        <v>0</v>
      </c>
    </row>
    <row r="55" spans="1:27" s="262" customFormat="1" x14ac:dyDescent="0.2">
      <c r="A55" s="260" t="s">
        <v>240</v>
      </c>
      <c r="B55" s="261">
        <f>$J18</f>
        <v>0</v>
      </c>
      <c r="C55" s="261">
        <f>$J19</f>
        <v>45000</v>
      </c>
      <c r="D55" s="261">
        <f>$J20</f>
        <v>54000</v>
      </c>
      <c r="E55" s="261">
        <f>$J21</f>
        <v>63000</v>
      </c>
      <c r="F55" s="261">
        <f>$J22</f>
        <v>63000</v>
      </c>
      <c r="G55" s="261">
        <f>$J23</f>
        <v>72000</v>
      </c>
      <c r="H55" s="261">
        <f>$J24</f>
        <v>81000</v>
      </c>
      <c r="I55" s="261">
        <f>$J25</f>
        <v>81000</v>
      </c>
      <c r="J55" s="261">
        <f>$J26</f>
        <v>90000</v>
      </c>
      <c r="K55" s="261">
        <f>$J27</f>
        <v>99000</v>
      </c>
      <c r="L55" s="261">
        <f>$J28</f>
        <v>99000</v>
      </c>
      <c r="M55" s="261">
        <f>$J29</f>
        <v>99000</v>
      </c>
      <c r="N55" s="261">
        <f>$J30</f>
        <v>108000</v>
      </c>
      <c r="O55" s="261">
        <f>$J31</f>
        <v>126000</v>
      </c>
      <c r="P55" s="261">
        <f>$J32</f>
        <v>126000</v>
      </c>
      <c r="Q55" s="261">
        <f>$J33</f>
        <v>117000</v>
      </c>
      <c r="R55" s="261">
        <f>$J34</f>
        <v>117000</v>
      </c>
      <c r="S55" s="261">
        <f>$J35</f>
        <v>90000</v>
      </c>
      <c r="T55" s="261">
        <f>$J36</f>
        <v>90000</v>
      </c>
      <c r="U55" s="261">
        <f>$J37</f>
        <v>72000</v>
      </c>
      <c r="V55" s="261">
        <f>$J38</f>
        <v>36000</v>
      </c>
      <c r="W55" s="261">
        <f>$J39</f>
        <v>18000</v>
      </c>
      <c r="X55" s="261">
        <f>$J40</f>
        <v>18000</v>
      </c>
      <c r="Y55" s="261">
        <f>$J41</f>
        <v>18000</v>
      </c>
      <c r="Z55" s="261">
        <f>$J42</f>
        <v>18000</v>
      </c>
      <c r="AA55" s="263">
        <f>SUM(B55:Z55)</f>
        <v>1800000</v>
      </c>
    </row>
    <row r="56" spans="1:27" x14ac:dyDescent="0.2">
      <c r="A56" s="264" t="s">
        <v>244</v>
      </c>
      <c r="B56" s="265">
        <f>SUM(B54:B55)</f>
        <v>0</v>
      </c>
      <c r="C56" s="265">
        <f>SUM(C54:C55)*0.45</f>
        <v>20250</v>
      </c>
      <c r="D56" s="265">
        <f t="shared" ref="D56:Z56" si="12">SUM(D54:D55)*0.45</f>
        <v>24300</v>
      </c>
      <c r="E56" s="265">
        <f t="shared" si="12"/>
        <v>28350</v>
      </c>
      <c r="F56" s="265">
        <f t="shared" si="12"/>
        <v>28350</v>
      </c>
      <c r="G56" s="265">
        <f t="shared" si="12"/>
        <v>32400</v>
      </c>
      <c r="H56" s="265">
        <f t="shared" si="12"/>
        <v>36450</v>
      </c>
      <c r="I56" s="265">
        <f t="shared" si="12"/>
        <v>36450</v>
      </c>
      <c r="J56" s="265">
        <f t="shared" si="12"/>
        <v>40500</v>
      </c>
      <c r="K56" s="265">
        <f t="shared" si="12"/>
        <v>44550</v>
      </c>
      <c r="L56" s="265">
        <f t="shared" si="12"/>
        <v>44550</v>
      </c>
      <c r="M56" s="265">
        <f t="shared" si="12"/>
        <v>44550</v>
      </c>
      <c r="N56" s="265">
        <f t="shared" si="12"/>
        <v>48600</v>
      </c>
      <c r="O56" s="265">
        <f t="shared" si="12"/>
        <v>56700</v>
      </c>
      <c r="P56" s="265">
        <f t="shared" si="12"/>
        <v>56700</v>
      </c>
      <c r="Q56" s="265">
        <f t="shared" si="12"/>
        <v>52650</v>
      </c>
      <c r="R56" s="265">
        <f t="shared" si="12"/>
        <v>52650</v>
      </c>
      <c r="S56" s="265">
        <f t="shared" si="12"/>
        <v>40500</v>
      </c>
      <c r="T56" s="265">
        <f t="shared" si="12"/>
        <v>40500</v>
      </c>
      <c r="U56" s="265">
        <f t="shared" si="12"/>
        <v>32400</v>
      </c>
      <c r="V56" s="265">
        <f t="shared" si="12"/>
        <v>16200</v>
      </c>
      <c r="W56" s="265">
        <f t="shared" si="12"/>
        <v>8100</v>
      </c>
      <c r="X56" s="265">
        <f t="shared" si="12"/>
        <v>8100</v>
      </c>
      <c r="Y56" s="265">
        <f t="shared" si="12"/>
        <v>8100</v>
      </c>
      <c r="Z56" s="265">
        <f t="shared" si="12"/>
        <v>8100</v>
      </c>
      <c r="AA56" s="265">
        <f>SUM(B56:Z56)</f>
        <v>810000</v>
      </c>
    </row>
    <row r="57" spans="1:27" s="263" customFormat="1" x14ac:dyDescent="0.2">
      <c r="A57" s="266" t="s">
        <v>245</v>
      </c>
      <c r="B57" s="266">
        <v>0</v>
      </c>
      <c r="C57" s="266">
        <f>C63</f>
        <v>33750</v>
      </c>
      <c r="D57" s="266">
        <f t="shared" ref="D57:Z57" si="13">C57</f>
        <v>33750</v>
      </c>
      <c r="E57" s="266">
        <f t="shared" si="13"/>
        <v>33750</v>
      </c>
      <c r="F57" s="266">
        <f t="shared" si="13"/>
        <v>33750</v>
      </c>
      <c r="G57" s="266">
        <f t="shared" si="13"/>
        <v>33750</v>
      </c>
      <c r="H57" s="266">
        <f t="shared" si="13"/>
        <v>33750</v>
      </c>
      <c r="I57" s="266">
        <f t="shared" si="13"/>
        <v>33750</v>
      </c>
      <c r="J57" s="266">
        <f t="shared" si="13"/>
        <v>33750</v>
      </c>
      <c r="K57" s="266">
        <f t="shared" si="13"/>
        <v>33750</v>
      </c>
      <c r="L57" s="266">
        <f t="shared" si="13"/>
        <v>33750</v>
      </c>
      <c r="M57" s="266">
        <f t="shared" si="13"/>
        <v>33750</v>
      </c>
      <c r="N57" s="266">
        <f t="shared" si="13"/>
        <v>33750</v>
      </c>
      <c r="O57" s="266">
        <f t="shared" si="13"/>
        <v>33750</v>
      </c>
      <c r="P57" s="266">
        <f t="shared" si="13"/>
        <v>33750</v>
      </c>
      <c r="Q57" s="266">
        <f t="shared" si="13"/>
        <v>33750</v>
      </c>
      <c r="R57" s="266">
        <f t="shared" si="13"/>
        <v>33750</v>
      </c>
      <c r="S57" s="266">
        <f t="shared" si="13"/>
        <v>33750</v>
      </c>
      <c r="T57" s="266">
        <f t="shared" si="13"/>
        <v>33750</v>
      </c>
      <c r="U57" s="266">
        <f t="shared" si="13"/>
        <v>33750</v>
      </c>
      <c r="V57" s="266">
        <f t="shared" si="13"/>
        <v>33750</v>
      </c>
      <c r="W57" s="266">
        <f t="shared" si="13"/>
        <v>33750</v>
      </c>
      <c r="X57" s="266">
        <f t="shared" si="13"/>
        <v>33750</v>
      </c>
      <c r="Y57" s="266">
        <f t="shared" si="13"/>
        <v>33750</v>
      </c>
      <c r="Z57" s="266">
        <f t="shared" si="13"/>
        <v>33750</v>
      </c>
      <c r="AA57" s="265">
        <f>SUM(B57:Z57)</f>
        <v>810000</v>
      </c>
    </row>
    <row r="58" spans="1:27" s="263" customFormat="1" x14ac:dyDescent="0.2">
      <c r="A58" s="266" t="s">
        <v>238</v>
      </c>
      <c r="B58" s="266">
        <f>A61*10%</f>
        <v>180000</v>
      </c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5">
        <f>SUM(B58:Z58)</f>
        <v>180000</v>
      </c>
    </row>
    <row r="59" spans="1:27" s="263" customFormat="1" x14ac:dyDescent="0.2">
      <c r="A59" s="266"/>
      <c r="B59" s="266">
        <f>SUM(B56:B58)</f>
        <v>180000</v>
      </c>
      <c r="C59" s="266">
        <f t="shared" ref="C59:Z59" si="14">SUM(C56:C58)</f>
        <v>54000</v>
      </c>
      <c r="D59" s="266">
        <f t="shared" si="14"/>
        <v>58050</v>
      </c>
      <c r="E59" s="266">
        <f t="shared" si="14"/>
        <v>62100</v>
      </c>
      <c r="F59" s="266">
        <f t="shared" si="14"/>
        <v>62100</v>
      </c>
      <c r="G59" s="266">
        <f t="shared" si="14"/>
        <v>66150</v>
      </c>
      <c r="H59" s="266">
        <f t="shared" si="14"/>
        <v>70200</v>
      </c>
      <c r="I59" s="266">
        <f t="shared" si="14"/>
        <v>70200</v>
      </c>
      <c r="J59" s="266">
        <f t="shared" si="14"/>
        <v>74250</v>
      </c>
      <c r="K59" s="266">
        <f t="shared" si="14"/>
        <v>78300</v>
      </c>
      <c r="L59" s="266">
        <f t="shared" si="14"/>
        <v>78300</v>
      </c>
      <c r="M59" s="266">
        <f t="shared" si="14"/>
        <v>78300</v>
      </c>
      <c r="N59" s="266">
        <f t="shared" si="14"/>
        <v>82350</v>
      </c>
      <c r="O59" s="266">
        <f t="shared" si="14"/>
        <v>90450</v>
      </c>
      <c r="P59" s="266">
        <f t="shared" si="14"/>
        <v>90450</v>
      </c>
      <c r="Q59" s="266">
        <f t="shared" si="14"/>
        <v>86400</v>
      </c>
      <c r="R59" s="266">
        <f t="shared" si="14"/>
        <v>86400</v>
      </c>
      <c r="S59" s="266">
        <f t="shared" si="14"/>
        <v>74250</v>
      </c>
      <c r="T59" s="266">
        <f t="shared" si="14"/>
        <v>74250</v>
      </c>
      <c r="U59" s="266">
        <f t="shared" si="14"/>
        <v>66150</v>
      </c>
      <c r="V59" s="266">
        <f t="shared" si="14"/>
        <v>49950</v>
      </c>
      <c r="W59" s="266">
        <f t="shared" si="14"/>
        <v>41850</v>
      </c>
      <c r="X59" s="266">
        <f t="shared" si="14"/>
        <v>41850</v>
      </c>
      <c r="Y59" s="266">
        <f t="shared" si="14"/>
        <v>41850</v>
      </c>
      <c r="Z59" s="266">
        <f t="shared" si="14"/>
        <v>41850</v>
      </c>
      <c r="AA59" s="265">
        <f>SUM(B59:Z59)</f>
        <v>1800000</v>
      </c>
    </row>
    <row r="60" spans="1:27" s="262" customFormat="1" x14ac:dyDescent="0.2">
      <c r="C60" s="262">
        <f>B60/A61</f>
        <v>0</v>
      </c>
    </row>
    <row r="61" spans="1:27" s="262" customFormat="1" x14ac:dyDescent="0.2">
      <c r="A61" s="262">
        <f>+'3. PEP'!G31</f>
        <v>1800000</v>
      </c>
    </row>
    <row r="62" spans="1:27" s="262" customFormat="1" x14ac:dyDescent="0.2">
      <c r="A62" s="262">
        <f>A61*0.1</f>
        <v>180000</v>
      </c>
    </row>
    <row r="63" spans="1:27" s="262" customFormat="1" x14ac:dyDescent="0.2">
      <c r="A63" s="262">
        <f>A61*0.45</f>
        <v>810000</v>
      </c>
      <c r="C63" s="262">
        <f>A63/24</f>
        <v>33750</v>
      </c>
    </row>
    <row r="64" spans="1:27" s="262" customFormat="1" x14ac:dyDescent="0.2"/>
  </sheetData>
  <mergeCells count="6">
    <mergeCell ref="I44:J44"/>
    <mergeCell ref="A1:J1"/>
    <mergeCell ref="B3:I4"/>
    <mergeCell ref="A5:C5"/>
    <mergeCell ref="D7:F7"/>
    <mergeCell ref="C15:D1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N47"/>
  <sheetViews>
    <sheetView showGridLines="0" zoomScale="70" zoomScaleNormal="70" workbookViewId="0">
      <selection activeCell="B43" sqref="B43"/>
    </sheetView>
  </sheetViews>
  <sheetFormatPr defaultColWidth="11.42578125" defaultRowHeight="12.75" x14ac:dyDescent="0.2"/>
  <cols>
    <col min="1" max="1" width="12.42578125" style="112" bestFit="1" customWidth="1"/>
    <col min="2" max="2" width="85.28515625" style="35" customWidth="1"/>
    <col min="3" max="3" width="12.85546875" style="30" customWidth="1"/>
    <col min="4" max="4" width="15.5703125" style="31" customWidth="1"/>
    <col min="5" max="5" width="14.42578125" style="32" customWidth="1"/>
    <col min="6" max="6" width="15.140625" style="32" customWidth="1"/>
    <col min="7" max="8" width="17.7109375" style="33" customWidth="1"/>
    <col min="9" max="66" width="4.5703125" style="29" customWidth="1"/>
    <col min="67" max="92" width="4.85546875" style="29" customWidth="1"/>
    <col min="93" max="254" width="11.42578125" style="29"/>
    <col min="255" max="255" width="44.42578125" style="29" customWidth="1"/>
    <col min="256" max="256" width="13" style="29" customWidth="1"/>
    <col min="257" max="262" width="2" style="29" customWidth="1"/>
    <col min="263" max="263" width="2.42578125" style="29" customWidth="1"/>
    <col min="264" max="264" width="3" style="29" customWidth="1"/>
    <col min="265" max="267" width="2" style="29" customWidth="1"/>
    <col min="268" max="268" width="2.85546875" style="29" customWidth="1"/>
    <col min="269" max="269" width="3" style="29" customWidth="1"/>
    <col min="270" max="270" width="2.7109375" style="29" customWidth="1"/>
    <col min="271" max="271" width="2.42578125" style="29" customWidth="1"/>
    <col min="272" max="272" width="3.28515625" style="29" customWidth="1"/>
    <col min="273" max="273" width="3.5703125" style="29" customWidth="1"/>
    <col min="274" max="274" width="4" style="29" customWidth="1"/>
    <col min="275" max="275" width="3.42578125" style="29" customWidth="1"/>
    <col min="276" max="276" width="3" style="29" customWidth="1"/>
    <col min="277" max="510" width="11.42578125" style="29"/>
    <col min="511" max="511" width="44.42578125" style="29" customWidth="1"/>
    <col min="512" max="512" width="13" style="29" customWidth="1"/>
    <col min="513" max="518" width="2" style="29" customWidth="1"/>
    <col min="519" max="519" width="2.42578125" style="29" customWidth="1"/>
    <col min="520" max="520" width="3" style="29" customWidth="1"/>
    <col min="521" max="523" width="2" style="29" customWidth="1"/>
    <col min="524" max="524" width="2.85546875" style="29" customWidth="1"/>
    <col min="525" max="525" width="3" style="29" customWidth="1"/>
    <col min="526" max="526" width="2.7109375" style="29" customWidth="1"/>
    <col min="527" max="527" width="2.42578125" style="29" customWidth="1"/>
    <col min="528" max="528" width="3.28515625" style="29" customWidth="1"/>
    <col min="529" max="529" width="3.5703125" style="29" customWidth="1"/>
    <col min="530" max="530" width="4" style="29" customWidth="1"/>
    <col min="531" max="531" width="3.42578125" style="29" customWidth="1"/>
    <col min="532" max="532" width="3" style="29" customWidth="1"/>
    <col min="533" max="766" width="11.42578125" style="29"/>
    <col min="767" max="767" width="44.42578125" style="29" customWidth="1"/>
    <col min="768" max="768" width="13" style="29" customWidth="1"/>
    <col min="769" max="774" width="2" style="29" customWidth="1"/>
    <col min="775" max="775" width="2.42578125" style="29" customWidth="1"/>
    <col min="776" max="776" width="3" style="29" customWidth="1"/>
    <col min="777" max="779" width="2" style="29" customWidth="1"/>
    <col min="780" max="780" width="2.85546875" style="29" customWidth="1"/>
    <col min="781" max="781" width="3" style="29" customWidth="1"/>
    <col min="782" max="782" width="2.7109375" style="29" customWidth="1"/>
    <col min="783" max="783" width="2.42578125" style="29" customWidth="1"/>
    <col min="784" max="784" width="3.28515625" style="29" customWidth="1"/>
    <col min="785" max="785" width="3.5703125" style="29" customWidth="1"/>
    <col min="786" max="786" width="4" style="29" customWidth="1"/>
    <col min="787" max="787" width="3.42578125" style="29" customWidth="1"/>
    <col min="788" max="788" width="3" style="29" customWidth="1"/>
    <col min="789" max="1022" width="11.42578125" style="29"/>
    <col min="1023" max="1023" width="44.42578125" style="29" customWidth="1"/>
    <col min="1024" max="1024" width="13" style="29" customWidth="1"/>
    <col min="1025" max="1030" width="2" style="29" customWidth="1"/>
    <col min="1031" max="1031" width="2.42578125" style="29" customWidth="1"/>
    <col min="1032" max="1032" width="3" style="29" customWidth="1"/>
    <col min="1033" max="1035" width="2" style="29" customWidth="1"/>
    <col min="1036" max="1036" width="2.85546875" style="29" customWidth="1"/>
    <col min="1037" max="1037" width="3" style="29" customWidth="1"/>
    <col min="1038" max="1038" width="2.7109375" style="29" customWidth="1"/>
    <col min="1039" max="1039" width="2.42578125" style="29" customWidth="1"/>
    <col min="1040" max="1040" width="3.28515625" style="29" customWidth="1"/>
    <col min="1041" max="1041" width="3.5703125" style="29" customWidth="1"/>
    <col min="1042" max="1042" width="4" style="29" customWidth="1"/>
    <col min="1043" max="1043" width="3.42578125" style="29" customWidth="1"/>
    <col min="1044" max="1044" width="3" style="29" customWidth="1"/>
    <col min="1045" max="1278" width="11.42578125" style="29"/>
    <col min="1279" max="1279" width="44.42578125" style="29" customWidth="1"/>
    <col min="1280" max="1280" width="13" style="29" customWidth="1"/>
    <col min="1281" max="1286" width="2" style="29" customWidth="1"/>
    <col min="1287" max="1287" width="2.42578125" style="29" customWidth="1"/>
    <col min="1288" max="1288" width="3" style="29" customWidth="1"/>
    <col min="1289" max="1291" width="2" style="29" customWidth="1"/>
    <col min="1292" max="1292" width="2.85546875" style="29" customWidth="1"/>
    <col min="1293" max="1293" width="3" style="29" customWidth="1"/>
    <col min="1294" max="1294" width="2.7109375" style="29" customWidth="1"/>
    <col min="1295" max="1295" width="2.42578125" style="29" customWidth="1"/>
    <col min="1296" max="1296" width="3.28515625" style="29" customWidth="1"/>
    <col min="1297" max="1297" width="3.5703125" style="29" customWidth="1"/>
    <col min="1298" max="1298" width="4" style="29" customWidth="1"/>
    <col min="1299" max="1299" width="3.42578125" style="29" customWidth="1"/>
    <col min="1300" max="1300" width="3" style="29" customWidth="1"/>
    <col min="1301" max="1534" width="11.42578125" style="29"/>
    <col min="1535" max="1535" width="44.42578125" style="29" customWidth="1"/>
    <col min="1536" max="1536" width="13" style="29" customWidth="1"/>
    <col min="1537" max="1542" width="2" style="29" customWidth="1"/>
    <col min="1543" max="1543" width="2.42578125" style="29" customWidth="1"/>
    <col min="1544" max="1544" width="3" style="29" customWidth="1"/>
    <col min="1545" max="1547" width="2" style="29" customWidth="1"/>
    <col min="1548" max="1548" width="2.85546875" style="29" customWidth="1"/>
    <col min="1549" max="1549" width="3" style="29" customWidth="1"/>
    <col min="1550" max="1550" width="2.7109375" style="29" customWidth="1"/>
    <col min="1551" max="1551" width="2.42578125" style="29" customWidth="1"/>
    <col min="1552" max="1552" width="3.28515625" style="29" customWidth="1"/>
    <col min="1553" max="1553" width="3.5703125" style="29" customWidth="1"/>
    <col min="1554" max="1554" width="4" style="29" customWidth="1"/>
    <col min="1555" max="1555" width="3.42578125" style="29" customWidth="1"/>
    <col min="1556" max="1556" width="3" style="29" customWidth="1"/>
    <col min="1557" max="1790" width="11.42578125" style="29"/>
    <col min="1791" max="1791" width="44.42578125" style="29" customWidth="1"/>
    <col min="1792" max="1792" width="13" style="29" customWidth="1"/>
    <col min="1793" max="1798" width="2" style="29" customWidth="1"/>
    <col min="1799" max="1799" width="2.42578125" style="29" customWidth="1"/>
    <col min="1800" max="1800" width="3" style="29" customWidth="1"/>
    <col min="1801" max="1803" width="2" style="29" customWidth="1"/>
    <col min="1804" max="1804" width="2.85546875" style="29" customWidth="1"/>
    <col min="1805" max="1805" width="3" style="29" customWidth="1"/>
    <col min="1806" max="1806" width="2.7109375" style="29" customWidth="1"/>
    <col min="1807" max="1807" width="2.42578125" style="29" customWidth="1"/>
    <col min="1808" max="1808" width="3.28515625" style="29" customWidth="1"/>
    <col min="1809" max="1809" width="3.5703125" style="29" customWidth="1"/>
    <col min="1810" max="1810" width="4" style="29" customWidth="1"/>
    <col min="1811" max="1811" width="3.42578125" style="29" customWidth="1"/>
    <col min="1812" max="1812" width="3" style="29" customWidth="1"/>
    <col min="1813" max="2046" width="11.42578125" style="29"/>
    <col min="2047" max="2047" width="44.42578125" style="29" customWidth="1"/>
    <col min="2048" max="2048" width="13" style="29" customWidth="1"/>
    <col min="2049" max="2054" width="2" style="29" customWidth="1"/>
    <col min="2055" max="2055" width="2.42578125" style="29" customWidth="1"/>
    <col min="2056" max="2056" width="3" style="29" customWidth="1"/>
    <col min="2057" max="2059" width="2" style="29" customWidth="1"/>
    <col min="2060" max="2060" width="2.85546875" style="29" customWidth="1"/>
    <col min="2061" max="2061" width="3" style="29" customWidth="1"/>
    <col min="2062" max="2062" width="2.7109375" style="29" customWidth="1"/>
    <col min="2063" max="2063" width="2.42578125" style="29" customWidth="1"/>
    <col min="2064" max="2064" width="3.28515625" style="29" customWidth="1"/>
    <col min="2065" max="2065" width="3.5703125" style="29" customWidth="1"/>
    <col min="2066" max="2066" width="4" style="29" customWidth="1"/>
    <col min="2067" max="2067" width="3.42578125" style="29" customWidth="1"/>
    <col min="2068" max="2068" width="3" style="29" customWidth="1"/>
    <col min="2069" max="2302" width="11.42578125" style="29"/>
    <col min="2303" max="2303" width="44.42578125" style="29" customWidth="1"/>
    <col min="2304" max="2304" width="13" style="29" customWidth="1"/>
    <col min="2305" max="2310" width="2" style="29" customWidth="1"/>
    <col min="2311" max="2311" width="2.42578125" style="29" customWidth="1"/>
    <col min="2312" max="2312" width="3" style="29" customWidth="1"/>
    <col min="2313" max="2315" width="2" style="29" customWidth="1"/>
    <col min="2316" max="2316" width="2.85546875" style="29" customWidth="1"/>
    <col min="2317" max="2317" width="3" style="29" customWidth="1"/>
    <col min="2318" max="2318" width="2.7109375" style="29" customWidth="1"/>
    <col min="2319" max="2319" width="2.42578125" style="29" customWidth="1"/>
    <col min="2320" max="2320" width="3.28515625" style="29" customWidth="1"/>
    <col min="2321" max="2321" width="3.5703125" style="29" customWidth="1"/>
    <col min="2322" max="2322" width="4" style="29" customWidth="1"/>
    <col min="2323" max="2323" width="3.42578125" style="29" customWidth="1"/>
    <col min="2324" max="2324" width="3" style="29" customWidth="1"/>
    <col min="2325" max="2558" width="11.42578125" style="29"/>
    <col min="2559" max="2559" width="44.42578125" style="29" customWidth="1"/>
    <col min="2560" max="2560" width="13" style="29" customWidth="1"/>
    <col min="2561" max="2566" width="2" style="29" customWidth="1"/>
    <col min="2567" max="2567" width="2.42578125" style="29" customWidth="1"/>
    <col min="2568" max="2568" width="3" style="29" customWidth="1"/>
    <col min="2569" max="2571" width="2" style="29" customWidth="1"/>
    <col min="2572" max="2572" width="2.85546875" style="29" customWidth="1"/>
    <col min="2573" max="2573" width="3" style="29" customWidth="1"/>
    <col min="2574" max="2574" width="2.7109375" style="29" customWidth="1"/>
    <col min="2575" max="2575" width="2.42578125" style="29" customWidth="1"/>
    <col min="2576" max="2576" width="3.28515625" style="29" customWidth="1"/>
    <col min="2577" max="2577" width="3.5703125" style="29" customWidth="1"/>
    <col min="2578" max="2578" width="4" style="29" customWidth="1"/>
    <col min="2579" max="2579" width="3.42578125" style="29" customWidth="1"/>
    <col min="2580" max="2580" width="3" style="29" customWidth="1"/>
    <col min="2581" max="2814" width="11.42578125" style="29"/>
    <col min="2815" max="2815" width="44.42578125" style="29" customWidth="1"/>
    <col min="2816" max="2816" width="13" style="29" customWidth="1"/>
    <col min="2817" max="2822" width="2" style="29" customWidth="1"/>
    <col min="2823" max="2823" width="2.42578125" style="29" customWidth="1"/>
    <col min="2824" max="2824" width="3" style="29" customWidth="1"/>
    <col min="2825" max="2827" width="2" style="29" customWidth="1"/>
    <col min="2828" max="2828" width="2.85546875" style="29" customWidth="1"/>
    <col min="2829" max="2829" width="3" style="29" customWidth="1"/>
    <col min="2830" max="2830" width="2.7109375" style="29" customWidth="1"/>
    <col min="2831" max="2831" width="2.42578125" style="29" customWidth="1"/>
    <col min="2832" max="2832" width="3.28515625" style="29" customWidth="1"/>
    <col min="2833" max="2833" width="3.5703125" style="29" customWidth="1"/>
    <col min="2834" max="2834" width="4" style="29" customWidth="1"/>
    <col min="2835" max="2835" width="3.42578125" style="29" customWidth="1"/>
    <col min="2836" max="2836" width="3" style="29" customWidth="1"/>
    <col min="2837" max="3070" width="11.42578125" style="29"/>
    <col min="3071" max="3071" width="44.42578125" style="29" customWidth="1"/>
    <col min="3072" max="3072" width="13" style="29" customWidth="1"/>
    <col min="3073" max="3078" width="2" style="29" customWidth="1"/>
    <col min="3079" max="3079" width="2.42578125" style="29" customWidth="1"/>
    <col min="3080" max="3080" width="3" style="29" customWidth="1"/>
    <col min="3081" max="3083" width="2" style="29" customWidth="1"/>
    <col min="3084" max="3084" width="2.85546875" style="29" customWidth="1"/>
    <col min="3085" max="3085" width="3" style="29" customWidth="1"/>
    <col min="3086" max="3086" width="2.7109375" style="29" customWidth="1"/>
    <col min="3087" max="3087" width="2.42578125" style="29" customWidth="1"/>
    <col min="3088" max="3088" width="3.28515625" style="29" customWidth="1"/>
    <col min="3089" max="3089" width="3.5703125" style="29" customWidth="1"/>
    <col min="3090" max="3090" width="4" style="29" customWidth="1"/>
    <col min="3091" max="3091" width="3.42578125" style="29" customWidth="1"/>
    <col min="3092" max="3092" width="3" style="29" customWidth="1"/>
    <col min="3093" max="3326" width="11.42578125" style="29"/>
    <col min="3327" max="3327" width="44.42578125" style="29" customWidth="1"/>
    <col min="3328" max="3328" width="13" style="29" customWidth="1"/>
    <col min="3329" max="3334" width="2" style="29" customWidth="1"/>
    <col min="3335" max="3335" width="2.42578125" style="29" customWidth="1"/>
    <col min="3336" max="3336" width="3" style="29" customWidth="1"/>
    <col min="3337" max="3339" width="2" style="29" customWidth="1"/>
    <col min="3340" max="3340" width="2.85546875" style="29" customWidth="1"/>
    <col min="3341" max="3341" width="3" style="29" customWidth="1"/>
    <col min="3342" max="3342" width="2.7109375" style="29" customWidth="1"/>
    <col min="3343" max="3343" width="2.42578125" style="29" customWidth="1"/>
    <col min="3344" max="3344" width="3.28515625" style="29" customWidth="1"/>
    <col min="3345" max="3345" width="3.5703125" style="29" customWidth="1"/>
    <col min="3346" max="3346" width="4" style="29" customWidth="1"/>
    <col min="3347" max="3347" width="3.42578125" style="29" customWidth="1"/>
    <col min="3348" max="3348" width="3" style="29" customWidth="1"/>
    <col min="3349" max="3582" width="11.42578125" style="29"/>
    <col min="3583" max="3583" width="44.42578125" style="29" customWidth="1"/>
    <col min="3584" max="3584" width="13" style="29" customWidth="1"/>
    <col min="3585" max="3590" width="2" style="29" customWidth="1"/>
    <col min="3591" max="3591" width="2.42578125" style="29" customWidth="1"/>
    <col min="3592" max="3592" width="3" style="29" customWidth="1"/>
    <col min="3593" max="3595" width="2" style="29" customWidth="1"/>
    <col min="3596" max="3596" width="2.85546875" style="29" customWidth="1"/>
    <col min="3597" max="3597" width="3" style="29" customWidth="1"/>
    <col min="3598" max="3598" width="2.7109375" style="29" customWidth="1"/>
    <col min="3599" max="3599" width="2.42578125" style="29" customWidth="1"/>
    <col min="3600" max="3600" width="3.28515625" style="29" customWidth="1"/>
    <col min="3601" max="3601" width="3.5703125" style="29" customWidth="1"/>
    <col min="3602" max="3602" width="4" style="29" customWidth="1"/>
    <col min="3603" max="3603" width="3.42578125" style="29" customWidth="1"/>
    <col min="3604" max="3604" width="3" style="29" customWidth="1"/>
    <col min="3605" max="3838" width="11.42578125" style="29"/>
    <col min="3839" max="3839" width="44.42578125" style="29" customWidth="1"/>
    <col min="3840" max="3840" width="13" style="29" customWidth="1"/>
    <col min="3841" max="3846" width="2" style="29" customWidth="1"/>
    <col min="3847" max="3847" width="2.42578125" style="29" customWidth="1"/>
    <col min="3848" max="3848" width="3" style="29" customWidth="1"/>
    <col min="3849" max="3851" width="2" style="29" customWidth="1"/>
    <col min="3852" max="3852" width="2.85546875" style="29" customWidth="1"/>
    <col min="3853" max="3853" width="3" style="29" customWidth="1"/>
    <col min="3854" max="3854" width="2.7109375" style="29" customWidth="1"/>
    <col min="3855" max="3855" width="2.42578125" style="29" customWidth="1"/>
    <col min="3856" max="3856" width="3.28515625" style="29" customWidth="1"/>
    <col min="3857" max="3857" width="3.5703125" style="29" customWidth="1"/>
    <col min="3858" max="3858" width="4" style="29" customWidth="1"/>
    <col min="3859" max="3859" width="3.42578125" style="29" customWidth="1"/>
    <col min="3860" max="3860" width="3" style="29" customWidth="1"/>
    <col min="3861" max="4094" width="11.42578125" style="29"/>
    <col min="4095" max="4095" width="44.42578125" style="29" customWidth="1"/>
    <col min="4096" max="4096" width="13" style="29" customWidth="1"/>
    <col min="4097" max="4102" width="2" style="29" customWidth="1"/>
    <col min="4103" max="4103" width="2.42578125" style="29" customWidth="1"/>
    <col min="4104" max="4104" width="3" style="29" customWidth="1"/>
    <col min="4105" max="4107" width="2" style="29" customWidth="1"/>
    <col min="4108" max="4108" width="2.85546875" style="29" customWidth="1"/>
    <col min="4109" max="4109" width="3" style="29" customWidth="1"/>
    <col min="4110" max="4110" width="2.7109375" style="29" customWidth="1"/>
    <col min="4111" max="4111" width="2.42578125" style="29" customWidth="1"/>
    <col min="4112" max="4112" width="3.28515625" style="29" customWidth="1"/>
    <col min="4113" max="4113" width="3.5703125" style="29" customWidth="1"/>
    <col min="4114" max="4114" width="4" style="29" customWidth="1"/>
    <col min="4115" max="4115" width="3.42578125" style="29" customWidth="1"/>
    <col min="4116" max="4116" width="3" style="29" customWidth="1"/>
    <col min="4117" max="4350" width="11.42578125" style="29"/>
    <col min="4351" max="4351" width="44.42578125" style="29" customWidth="1"/>
    <col min="4352" max="4352" width="13" style="29" customWidth="1"/>
    <col min="4353" max="4358" width="2" style="29" customWidth="1"/>
    <col min="4359" max="4359" width="2.42578125" style="29" customWidth="1"/>
    <col min="4360" max="4360" width="3" style="29" customWidth="1"/>
    <col min="4361" max="4363" width="2" style="29" customWidth="1"/>
    <col min="4364" max="4364" width="2.85546875" style="29" customWidth="1"/>
    <col min="4365" max="4365" width="3" style="29" customWidth="1"/>
    <col min="4366" max="4366" width="2.7109375" style="29" customWidth="1"/>
    <col min="4367" max="4367" width="2.42578125" style="29" customWidth="1"/>
    <col min="4368" max="4368" width="3.28515625" style="29" customWidth="1"/>
    <col min="4369" max="4369" width="3.5703125" style="29" customWidth="1"/>
    <col min="4370" max="4370" width="4" style="29" customWidth="1"/>
    <col min="4371" max="4371" width="3.42578125" style="29" customWidth="1"/>
    <col min="4372" max="4372" width="3" style="29" customWidth="1"/>
    <col min="4373" max="4606" width="11.42578125" style="29"/>
    <col min="4607" max="4607" width="44.42578125" style="29" customWidth="1"/>
    <col min="4608" max="4608" width="13" style="29" customWidth="1"/>
    <col min="4609" max="4614" width="2" style="29" customWidth="1"/>
    <col min="4615" max="4615" width="2.42578125" style="29" customWidth="1"/>
    <col min="4616" max="4616" width="3" style="29" customWidth="1"/>
    <col min="4617" max="4619" width="2" style="29" customWidth="1"/>
    <col min="4620" max="4620" width="2.85546875" style="29" customWidth="1"/>
    <col min="4621" max="4621" width="3" style="29" customWidth="1"/>
    <col min="4622" max="4622" width="2.7109375" style="29" customWidth="1"/>
    <col min="4623" max="4623" width="2.42578125" style="29" customWidth="1"/>
    <col min="4624" max="4624" width="3.28515625" style="29" customWidth="1"/>
    <col min="4625" max="4625" width="3.5703125" style="29" customWidth="1"/>
    <col min="4626" max="4626" width="4" style="29" customWidth="1"/>
    <col min="4627" max="4627" width="3.42578125" style="29" customWidth="1"/>
    <col min="4628" max="4628" width="3" style="29" customWidth="1"/>
    <col min="4629" max="4862" width="11.42578125" style="29"/>
    <col min="4863" max="4863" width="44.42578125" style="29" customWidth="1"/>
    <col min="4864" max="4864" width="13" style="29" customWidth="1"/>
    <col min="4865" max="4870" width="2" style="29" customWidth="1"/>
    <col min="4871" max="4871" width="2.42578125" style="29" customWidth="1"/>
    <col min="4872" max="4872" width="3" style="29" customWidth="1"/>
    <col min="4873" max="4875" width="2" style="29" customWidth="1"/>
    <col min="4876" max="4876" width="2.85546875" style="29" customWidth="1"/>
    <col min="4877" max="4877" width="3" style="29" customWidth="1"/>
    <col min="4878" max="4878" width="2.7109375" style="29" customWidth="1"/>
    <col min="4879" max="4879" width="2.42578125" style="29" customWidth="1"/>
    <col min="4880" max="4880" width="3.28515625" style="29" customWidth="1"/>
    <col min="4881" max="4881" width="3.5703125" style="29" customWidth="1"/>
    <col min="4882" max="4882" width="4" style="29" customWidth="1"/>
    <col min="4883" max="4883" width="3.42578125" style="29" customWidth="1"/>
    <col min="4884" max="4884" width="3" style="29" customWidth="1"/>
    <col min="4885" max="5118" width="11.42578125" style="29"/>
    <col min="5119" max="5119" width="44.42578125" style="29" customWidth="1"/>
    <col min="5120" max="5120" width="13" style="29" customWidth="1"/>
    <col min="5121" max="5126" width="2" style="29" customWidth="1"/>
    <col min="5127" max="5127" width="2.42578125" style="29" customWidth="1"/>
    <col min="5128" max="5128" width="3" style="29" customWidth="1"/>
    <col min="5129" max="5131" width="2" style="29" customWidth="1"/>
    <col min="5132" max="5132" width="2.85546875" style="29" customWidth="1"/>
    <col min="5133" max="5133" width="3" style="29" customWidth="1"/>
    <col min="5134" max="5134" width="2.7109375" style="29" customWidth="1"/>
    <col min="5135" max="5135" width="2.42578125" style="29" customWidth="1"/>
    <col min="5136" max="5136" width="3.28515625" style="29" customWidth="1"/>
    <col min="5137" max="5137" width="3.5703125" style="29" customWidth="1"/>
    <col min="5138" max="5138" width="4" style="29" customWidth="1"/>
    <col min="5139" max="5139" width="3.42578125" style="29" customWidth="1"/>
    <col min="5140" max="5140" width="3" style="29" customWidth="1"/>
    <col min="5141" max="5374" width="11.42578125" style="29"/>
    <col min="5375" max="5375" width="44.42578125" style="29" customWidth="1"/>
    <col min="5376" max="5376" width="13" style="29" customWidth="1"/>
    <col min="5377" max="5382" width="2" style="29" customWidth="1"/>
    <col min="5383" max="5383" width="2.42578125" style="29" customWidth="1"/>
    <col min="5384" max="5384" width="3" style="29" customWidth="1"/>
    <col min="5385" max="5387" width="2" style="29" customWidth="1"/>
    <col min="5388" max="5388" width="2.85546875" style="29" customWidth="1"/>
    <col min="5389" max="5389" width="3" style="29" customWidth="1"/>
    <col min="5390" max="5390" width="2.7109375" style="29" customWidth="1"/>
    <col min="5391" max="5391" width="2.42578125" style="29" customWidth="1"/>
    <col min="5392" max="5392" width="3.28515625" style="29" customWidth="1"/>
    <col min="5393" max="5393" width="3.5703125" style="29" customWidth="1"/>
    <col min="5394" max="5394" width="4" style="29" customWidth="1"/>
    <col min="5395" max="5395" width="3.42578125" style="29" customWidth="1"/>
    <col min="5396" max="5396" width="3" style="29" customWidth="1"/>
    <col min="5397" max="5630" width="11.42578125" style="29"/>
    <col min="5631" max="5631" width="44.42578125" style="29" customWidth="1"/>
    <col min="5632" max="5632" width="13" style="29" customWidth="1"/>
    <col min="5633" max="5638" width="2" style="29" customWidth="1"/>
    <col min="5639" max="5639" width="2.42578125" style="29" customWidth="1"/>
    <col min="5640" max="5640" width="3" style="29" customWidth="1"/>
    <col min="5641" max="5643" width="2" style="29" customWidth="1"/>
    <col min="5644" max="5644" width="2.85546875" style="29" customWidth="1"/>
    <col min="5645" max="5645" width="3" style="29" customWidth="1"/>
    <col min="5646" max="5646" width="2.7109375" style="29" customWidth="1"/>
    <col min="5647" max="5647" width="2.42578125" style="29" customWidth="1"/>
    <col min="5648" max="5648" width="3.28515625" style="29" customWidth="1"/>
    <col min="5649" max="5649" width="3.5703125" style="29" customWidth="1"/>
    <col min="5650" max="5650" width="4" style="29" customWidth="1"/>
    <col min="5651" max="5651" width="3.42578125" style="29" customWidth="1"/>
    <col min="5652" max="5652" width="3" style="29" customWidth="1"/>
    <col min="5653" max="5886" width="11.42578125" style="29"/>
    <col min="5887" max="5887" width="44.42578125" style="29" customWidth="1"/>
    <col min="5888" max="5888" width="13" style="29" customWidth="1"/>
    <col min="5889" max="5894" width="2" style="29" customWidth="1"/>
    <col min="5895" max="5895" width="2.42578125" style="29" customWidth="1"/>
    <col min="5896" max="5896" width="3" style="29" customWidth="1"/>
    <col min="5897" max="5899" width="2" style="29" customWidth="1"/>
    <col min="5900" max="5900" width="2.85546875" style="29" customWidth="1"/>
    <col min="5901" max="5901" width="3" style="29" customWidth="1"/>
    <col min="5902" max="5902" width="2.7109375" style="29" customWidth="1"/>
    <col min="5903" max="5903" width="2.42578125" style="29" customWidth="1"/>
    <col min="5904" max="5904" width="3.28515625" style="29" customWidth="1"/>
    <col min="5905" max="5905" width="3.5703125" style="29" customWidth="1"/>
    <col min="5906" max="5906" width="4" style="29" customWidth="1"/>
    <col min="5907" max="5907" width="3.42578125" style="29" customWidth="1"/>
    <col min="5908" max="5908" width="3" style="29" customWidth="1"/>
    <col min="5909" max="6142" width="11.42578125" style="29"/>
    <col min="6143" max="6143" width="44.42578125" style="29" customWidth="1"/>
    <col min="6144" max="6144" width="13" style="29" customWidth="1"/>
    <col min="6145" max="6150" width="2" style="29" customWidth="1"/>
    <col min="6151" max="6151" width="2.42578125" style="29" customWidth="1"/>
    <col min="6152" max="6152" width="3" style="29" customWidth="1"/>
    <col min="6153" max="6155" width="2" style="29" customWidth="1"/>
    <col min="6156" max="6156" width="2.85546875" style="29" customWidth="1"/>
    <col min="6157" max="6157" width="3" style="29" customWidth="1"/>
    <col min="6158" max="6158" width="2.7109375" style="29" customWidth="1"/>
    <col min="6159" max="6159" width="2.42578125" style="29" customWidth="1"/>
    <col min="6160" max="6160" width="3.28515625" style="29" customWidth="1"/>
    <col min="6161" max="6161" width="3.5703125" style="29" customWidth="1"/>
    <col min="6162" max="6162" width="4" style="29" customWidth="1"/>
    <col min="6163" max="6163" width="3.42578125" style="29" customWidth="1"/>
    <col min="6164" max="6164" width="3" style="29" customWidth="1"/>
    <col min="6165" max="6398" width="11.42578125" style="29"/>
    <col min="6399" max="6399" width="44.42578125" style="29" customWidth="1"/>
    <col min="6400" max="6400" width="13" style="29" customWidth="1"/>
    <col min="6401" max="6406" width="2" style="29" customWidth="1"/>
    <col min="6407" max="6407" width="2.42578125" style="29" customWidth="1"/>
    <col min="6408" max="6408" width="3" style="29" customWidth="1"/>
    <col min="6409" max="6411" width="2" style="29" customWidth="1"/>
    <col min="6412" max="6412" width="2.85546875" style="29" customWidth="1"/>
    <col min="6413" max="6413" width="3" style="29" customWidth="1"/>
    <col min="6414" max="6414" width="2.7109375" style="29" customWidth="1"/>
    <col min="6415" max="6415" width="2.42578125" style="29" customWidth="1"/>
    <col min="6416" max="6416" width="3.28515625" style="29" customWidth="1"/>
    <col min="6417" max="6417" width="3.5703125" style="29" customWidth="1"/>
    <col min="6418" max="6418" width="4" style="29" customWidth="1"/>
    <col min="6419" max="6419" width="3.42578125" style="29" customWidth="1"/>
    <col min="6420" max="6420" width="3" style="29" customWidth="1"/>
    <col min="6421" max="6654" width="11.42578125" style="29"/>
    <col min="6655" max="6655" width="44.42578125" style="29" customWidth="1"/>
    <col min="6656" max="6656" width="13" style="29" customWidth="1"/>
    <col min="6657" max="6662" width="2" style="29" customWidth="1"/>
    <col min="6663" max="6663" width="2.42578125" style="29" customWidth="1"/>
    <col min="6664" max="6664" width="3" style="29" customWidth="1"/>
    <col min="6665" max="6667" width="2" style="29" customWidth="1"/>
    <col min="6668" max="6668" width="2.85546875" style="29" customWidth="1"/>
    <col min="6669" max="6669" width="3" style="29" customWidth="1"/>
    <col min="6670" max="6670" width="2.7109375" style="29" customWidth="1"/>
    <col min="6671" max="6671" width="2.42578125" style="29" customWidth="1"/>
    <col min="6672" max="6672" width="3.28515625" style="29" customWidth="1"/>
    <col min="6673" max="6673" width="3.5703125" style="29" customWidth="1"/>
    <col min="6674" max="6674" width="4" style="29" customWidth="1"/>
    <col min="6675" max="6675" width="3.42578125" style="29" customWidth="1"/>
    <col min="6676" max="6676" width="3" style="29" customWidth="1"/>
    <col min="6677" max="6910" width="11.42578125" style="29"/>
    <col min="6911" max="6911" width="44.42578125" style="29" customWidth="1"/>
    <col min="6912" max="6912" width="13" style="29" customWidth="1"/>
    <col min="6913" max="6918" width="2" style="29" customWidth="1"/>
    <col min="6919" max="6919" width="2.42578125" style="29" customWidth="1"/>
    <col min="6920" max="6920" width="3" style="29" customWidth="1"/>
    <col min="6921" max="6923" width="2" style="29" customWidth="1"/>
    <col min="6924" max="6924" width="2.85546875" style="29" customWidth="1"/>
    <col min="6925" max="6925" width="3" style="29" customWidth="1"/>
    <col min="6926" max="6926" width="2.7109375" style="29" customWidth="1"/>
    <col min="6927" max="6927" width="2.42578125" style="29" customWidth="1"/>
    <col min="6928" max="6928" width="3.28515625" style="29" customWidth="1"/>
    <col min="6929" max="6929" width="3.5703125" style="29" customWidth="1"/>
    <col min="6930" max="6930" width="4" style="29" customWidth="1"/>
    <col min="6931" max="6931" width="3.42578125" style="29" customWidth="1"/>
    <col min="6932" max="6932" width="3" style="29" customWidth="1"/>
    <col min="6933" max="7166" width="11.42578125" style="29"/>
    <col min="7167" max="7167" width="44.42578125" style="29" customWidth="1"/>
    <col min="7168" max="7168" width="13" style="29" customWidth="1"/>
    <col min="7169" max="7174" width="2" style="29" customWidth="1"/>
    <col min="7175" max="7175" width="2.42578125" style="29" customWidth="1"/>
    <col min="7176" max="7176" width="3" style="29" customWidth="1"/>
    <col min="7177" max="7179" width="2" style="29" customWidth="1"/>
    <col min="7180" max="7180" width="2.85546875" style="29" customWidth="1"/>
    <col min="7181" max="7181" width="3" style="29" customWidth="1"/>
    <col min="7182" max="7182" width="2.7109375" style="29" customWidth="1"/>
    <col min="7183" max="7183" width="2.42578125" style="29" customWidth="1"/>
    <col min="7184" max="7184" width="3.28515625" style="29" customWidth="1"/>
    <col min="7185" max="7185" width="3.5703125" style="29" customWidth="1"/>
    <col min="7186" max="7186" width="4" style="29" customWidth="1"/>
    <col min="7187" max="7187" width="3.42578125" style="29" customWidth="1"/>
    <col min="7188" max="7188" width="3" style="29" customWidth="1"/>
    <col min="7189" max="7422" width="11.42578125" style="29"/>
    <col min="7423" max="7423" width="44.42578125" style="29" customWidth="1"/>
    <col min="7424" max="7424" width="13" style="29" customWidth="1"/>
    <col min="7425" max="7430" width="2" style="29" customWidth="1"/>
    <col min="7431" max="7431" width="2.42578125" style="29" customWidth="1"/>
    <col min="7432" max="7432" width="3" style="29" customWidth="1"/>
    <col min="7433" max="7435" width="2" style="29" customWidth="1"/>
    <col min="7436" max="7436" width="2.85546875" style="29" customWidth="1"/>
    <col min="7437" max="7437" width="3" style="29" customWidth="1"/>
    <col min="7438" max="7438" width="2.7109375" style="29" customWidth="1"/>
    <col min="7439" max="7439" width="2.42578125" style="29" customWidth="1"/>
    <col min="7440" max="7440" width="3.28515625" style="29" customWidth="1"/>
    <col min="7441" max="7441" width="3.5703125" style="29" customWidth="1"/>
    <col min="7442" max="7442" width="4" style="29" customWidth="1"/>
    <col min="7443" max="7443" width="3.42578125" style="29" customWidth="1"/>
    <col min="7444" max="7444" width="3" style="29" customWidth="1"/>
    <col min="7445" max="7678" width="11.42578125" style="29"/>
    <col min="7679" max="7679" width="44.42578125" style="29" customWidth="1"/>
    <col min="7680" max="7680" width="13" style="29" customWidth="1"/>
    <col min="7681" max="7686" width="2" style="29" customWidth="1"/>
    <col min="7687" max="7687" width="2.42578125" style="29" customWidth="1"/>
    <col min="7688" max="7688" width="3" style="29" customWidth="1"/>
    <col min="7689" max="7691" width="2" style="29" customWidth="1"/>
    <col min="7692" max="7692" width="2.85546875" style="29" customWidth="1"/>
    <col min="7693" max="7693" width="3" style="29" customWidth="1"/>
    <col min="7694" max="7694" width="2.7109375" style="29" customWidth="1"/>
    <col min="7695" max="7695" width="2.42578125" style="29" customWidth="1"/>
    <col min="7696" max="7696" width="3.28515625" style="29" customWidth="1"/>
    <col min="7697" max="7697" width="3.5703125" style="29" customWidth="1"/>
    <col min="7698" max="7698" width="4" style="29" customWidth="1"/>
    <col min="7699" max="7699" width="3.42578125" style="29" customWidth="1"/>
    <col min="7700" max="7700" width="3" style="29" customWidth="1"/>
    <col min="7701" max="7934" width="11.42578125" style="29"/>
    <col min="7935" max="7935" width="44.42578125" style="29" customWidth="1"/>
    <col min="7936" max="7936" width="13" style="29" customWidth="1"/>
    <col min="7937" max="7942" width="2" style="29" customWidth="1"/>
    <col min="7943" max="7943" width="2.42578125" style="29" customWidth="1"/>
    <col min="7944" max="7944" width="3" style="29" customWidth="1"/>
    <col min="7945" max="7947" width="2" style="29" customWidth="1"/>
    <col min="7948" max="7948" width="2.85546875" style="29" customWidth="1"/>
    <col min="7949" max="7949" width="3" style="29" customWidth="1"/>
    <col min="7950" max="7950" width="2.7109375" style="29" customWidth="1"/>
    <col min="7951" max="7951" width="2.42578125" style="29" customWidth="1"/>
    <col min="7952" max="7952" width="3.28515625" style="29" customWidth="1"/>
    <col min="7953" max="7953" width="3.5703125" style="29" customWidth="1"/>
    <col min="7954" max="7954" width="4" style="29" customWidth="1"/>
    <col min="7955" max="7955" width="3.42578125" style="29" customWidth="1"/>
    <col min="7956" max="7956" width="3" style="29" customWidth="1"/>
    <col min="7957" max="8190" width="11.42578125" style="29"/>
    <col min="8191" max="8191" width="44.42578125" style="29" customWidth="1"/>
    <col min="8192" max="8192" width="13" style="29" customWidth="1"/>
    <col min="8193" max="8198" width="2" style="29" customWidth="1"/>
    <col min="8199" max="8199" width="2.42578125" style="29" customWidth="1"/>
    <col min="8200" max="8200" width="3" style="29" customWidth="1"/>
    <col min="8201" max="8203" width="2" style="29" customWidth="1"/>
    <col min="8204" max="8204" width="2.85546875" style="29" customWidth="1"/>
    <col min="8205" max="8205" width="3" style="29" customWidth="1"/>
    <col min="8206" max="8206" width="2.7109375" style="29" customWidth="1"/>
    <col min="8207" max="8207" width="2.42578125" style="29" customWidth="1"/>
    <col min="8208" max="8208" width="3.28515625" style="29" customWidth="1"/>
    <col min="8209" max="8209" width="3.5703125" style="29" customWidth="1"/>
    <col min="8210" max="8210" width="4" style="29" customWidth="1"/>
    <col min="8211" max="8211" width="3.42578125" style="29" customWidth="1"/>
    <col min="8212" max="8212" width="3" style="29" customWidth="1"/>
    <col min="8213" max="8446" width="11.42578125" style="29"/>
    <col min="8447" max="8447" width="44.42578125" style="29" customWidth="1"/>
    <col min="8448" max="8448" width="13" style="29" customWidth="1"/>
    <col min="8449" max="8454" width="2" style="29" customWidth="1"/>
    <col min="8455" max="8455" width="2.42578125" style="29" customWidth="1"/>
    <col min="8456" max="8456" width="3" style="29" customWidth="1"/>
    <col min="8457" max="8459" width="2" style="29" customWidth="1"/>
    <col min="8460" max="8460" width="2.85546875" style="29" customWidth="1"/>
    <col min="8461" max="8461" width="3" style="29" customWidth="1"/>
    <col min="8462" max="8462" width="2.7109375" style="29" customWidth="1"/>
    <col min="8463" max="8463" width="2.42578125" style="29" customWidth="1"/>
    <col min="8464" max="8464" width="3.28515625" style="29" customWidth="1"/>
    <col min="8465" max="8465" width="3.5703125" style="29" customWidth="1"/>
    <col min="8466" max="8466" width="4" style="29" customWidth="1"/>
    <col min="8467" max="8467" width="3.42578125" style="29" customWidth="1"/>
    <col min="8468" max="8468" width="3" style="29" customWidth="1"/>
    <col min="8469" max="8702" width="11.42578125" style="29"/>
    <col min="8703" max="8703" width="44.42578125" style="29" customWidth="1"/>
    <col min="8704" max="8704" width="13" style="29" customWidth="1"/>
    <col min="8705" max="8710" width="2" style="29" customWidth="1"/>
    <col min="8711" max="8711" width="2.42578125" style="29" customWidth="1"/>
    <col min="8712" max="8712" width="3" style="29" customWidth="1"/>
    <col min="8713" max="8715" width="2" style="29" customWidth="1"/>
    <col min="8716" max="8716" width="2.85546875" style="29" customWidth="1"/>
    <col min="8717" max="8717" width="3" style="29" customWidth="1"/>
    <col min="8718" max="8718" width="2.7109375" style="29" customWidth="1"/>
    <col min="8719" max="8719" width="2.42578125" style="29" customWidth="1"/>
    <col min="8720" max="8720" width="3.28515625" style="29" customWidth="1"/>
    <col min="8721" max="8721" width="3.5703125" style="29" customWidth="1"/>
    <col min="8722" max="8722" width="4" style="29" customWidth="1"/>
    <col min="8723" max="8723" width="3.42578125" style="29" customWidth="1"/>
    <col min="8724" max="8724" width="3" style="29" customWidth="1"/>
    <col min="8725" max="8958" width="11.42578125" style="29"/>
    <col min="8959" max="8959" width="44.42578125" style="29" customWidth="1"/>
    <col min="8960" max="8960" width="13" style="29" customWidth="1"/>
    <col min="8961" max="8966" width="2" style="29" customWidth="1"/>
    <col min="8967" max="8967" width="2.42578125" style="29" customWidth="1"/>
    <col min="8968" max="8968" width="3" style="29" customWidth="1"/>
    <col min="8969" max="8971" width="2" style="29" customWidth="1"/>
    <col min="8972" max="8972" width="2.85546875" style="29" customWidth="1"/>
    <col min="8973" max="8973" width="3" style="29" customWidth="1"/>
    <col min="8974" max="8974" width="2.7109375" style="29" customWidth="1"/>
    <col min="8975" max="8975" width="2.42578125" style="29" customWidth="1"/>
    <col min="8976" max="8976" width="3.28515625" style="29" customWidth="1"/>
    <col min="8977" max="8977" width="3.5703125" style="29" customWidth="1"/>
    <col min="8978" max="8978" width="4" style="29" customWidth="1"/>
    <col min="8979" max="8979" width="3.42578125" style="29" customWidth="1"/>
    <col min="8980" max="8980" width="3" style="29" customWidth="1"/>
    <col min="8981" max="9214" width="11.42578125" style="29"/>
    <col min="9215" max="9215" width="44.42578125" style="29" customWidth="1"/>
    <col min="9216" max="9216" width="13" style="29" customWidth="1"/>
    <col min="9217" max="9222" width="2" style="29" customWidth="1"/>
    <col min="9223" max="9223" width="2.42578125" style="29" customWidth="1"/>
    <col min="9224" max="9224" width="3" style="29" customWidth="1"/>
    <col min="9225" max="9227" width="2" style="29" customWidth="1"/>
    <col min="9228" max="9228" width="2.85546875" style="29" customWidth="1"/>
    <col min="9229" max="9229" width="3" style="29" customWidth="1"/>
    <col min="9230" max="9230" width="2.7109375" style="29" customWidth="1"/>
    <col min="9231" max="9231" width="2.42578125" style="29" customWidth="1"/>
    <col min="9232" max="9232" width="3.28515625" style="29" customWidth="1"/>
    <col min="9233" max="9233" width="3.5703125" style="29" customWidth="1"/>
    <col min="9234" max="9234" width="4" style="29" customWidth="1"/>
    <col min="9235" max="9235" width="3.42578125" style="29" customWidth="1"/>
    <col min="9236" max="9236" width="3" style="29" customWidth="1"/>
    <col min="9237" max="9470" width="11.42578125" style="29"/>
    <col min="9471" max="9471" width="44.42578125" style="29" customWidth="1"/>
    <col min="9472" max="9472" width="13" style="29" customWidth="1"/>
    <col min="9473" max="9478" width="2" style="29" customWidth="1"/>
    <col min="9479" max="9479" width="2.42578125" style="29" customWidth="1"/>
    <col min="9480" max="9480" width="3" style="29" customWidth="1"/>
    <col min="9481" max="9483" width="2" style="29" customWidth="1"/>
    <col min="9484" max="9484" width="2.85546875" style="29" customWidth="1"/>
    <col min="9485" max="9485" width="3" style="29" customWidth="1"/>
    <col min="9486" max="9486" width="2.7109375" style="29" customWidth="1"/>
    <col min="9487" max="9487" width="2.42578125" style="29" customWidth="1"/>
    <col min="9488" max="9488" width="3.28515625" style="29" customWidth="1"/>
    <col min="9489" max="9489" width="3.5703125" style="29" customWidth="1"/>
    <col min="9490" max="9490" width="4" style="29" customWidth="1"/>
    <col min="9491" max="9491" width="3.42578125" style="29" customWidth="1"/>
    <col min="9492" max="9492" width="3" style="29" customWidth="1"/>
    <col min="9493" max="9726" width="11.42578125" style="29"/>
    <col min="9727" max="9727" width="44.42578125" style="29" customWidth="1"/>
    <col min="9728" max="9728" width="13" style="29" customWidth="1"/>
    <col min="9729" max="9734" width="2" style="29" customWidth="1"/>
    <col min="9735" max="9735" width="2.42578125" style="29" customWidth="1"/>
    <col min="9736" max="9736" width="3" style="29" customWidth="1"/>
    <col min="9737" max="9739" width="2" style="29" customWidth="1"/>
    <col min="9740" max="9740" width="2.85546875" style="29" customWidth="1"/>
    <col min="9741" max="9741" width="3" style="29" customWidth="1"/>
    <col min="9742" max="9742" width="2.7109375" style="29" customWidth="1"/>
    <col min="9743" max="9743" width="2.42578125" style="29" customWidth="1"/>
    <col min="9744" max="9744" width="3.28515625" style="29" customWidth="1"/>
    <col min="9745" max="9745" width="3.5703125" style="29" customWidth="1"/>
    <col min="9746" max="9746" width="4" style="29" customWidth="1"/>
    <col min="9747" max="9747" width="3.42578125" style="29" customWidth="1"/>
    <col min="9748" max="9748" width="3" style="29" customWidth="1"/>
    <col min="9749" max="9982" width="11.42578125" style="29"/>
    <col min="9983" max="9983" width="44.42578125" style="29" customWidth="1"/>
    <col min="9984" max="9984" width="13" style="29" customWidth="1"/>
    <col min="9985" max="9990" width="2" style="29" customWidth="1"/>
    <col min="9991" max="9991" width="2.42578125" style="29" customWidth="1"/>
    <col min="9992" max="9992" width="3" style="29" customWidth="1"/>
    <col min="9993" max="9995" width="2" style="29" customWidth="1"/>
    <col min="9996" max="9996" width="2.85546875" style="29" customWidth="1"/>
    <col min="9997" max="9997" width="3" style="29" customWidth="1"/>
    <col min="9998" max="9998" width="2.7109375" style="29" customWidth="1"/>
    <col min="9999" max="9999" width="2.42578125" style="29" customWidth="1"/>
    <col min="10000" max="10000" width="3.28515625" style="29" customWidth="1"/>
    <col min="10001" max="10001" width="3.5703125" style="29" customWidth="1"/>
    <col min="10002" max="10002" width="4" style="29" customWidth="1"/>
    <col min="10003" max="10003" width="3.42578125" style="29" customWidth="1"/>
    <col min="10004" max="10004" width="3" style="29" customWidth="1"/>
    <col min="10005" max="10238" width="11.42578125" style="29"/>
    <col min="10239" max="10239" width="44.42578125" style="29" customWidth="1"/>
    <col min="10240" max="10240" width="13" style="29" customWidth="1"/>
    <col min="10241" max="10246" width="2" style="29" customWidth="1"/>
    <col min="10247" max="10247" width="2.42578125" style="29" customWidth="1"/>
    <col min="10248" max="10248" width="3" style="29" customWidth="1"/>
    <col min="10249" max="10251" width="2" style="29" customWidth="1"/>
    <col min="10252" max="10252" width="2.85546875" style="29" customWidth="1"/>
    <col min="10253" max="10253" width="3" style="29" customWidth="1"/>
    <col min="10254" max="10254" width="2.7109375" style="29" customWidth="1"/>
    <col min="10255" max="10255" width="2.42578125" style="29" customWidth="1"/>
    <col min="10256" max="10256" width="3.28515625" style="29" customWidth="1"/>
    <col min="10257" max="10257" width="3.5703125" style="29" customWidth="1"/>
    <col min="10258" max="10258" width="4" style="29" customWidth="1"/>
    <col min="10259" max="10259" width="3.42578125" style="29" customWidth="1"/>
    <col min="10260" max="10260" width="3" style="29" customWidth="1"/>
    <col min="10261" max="10494" width="11.42578125" style="29"/>
    <col min="10495" max="10495" width="44.42578125" style="29" customWidth="1"/>
    <col min="10496" max="10496" width="13" style="29" customWidth="1"/>
    <col min="10497" max="10502" width="2" style="29" customWidth="1"/>
    <col min="10503" max="10503" width="2.42578125" style="29" customWidth="1"/>
    <col min="10504" max="10504" width="3" style="29" customWidth="1"/>
    <col min="10505" max="10507" width="2" style="29" customWidth="1"/>
    <col min="10508" max="10508" width="2.85546875" style="29" customWidth="1"/>
    <col min="10509" max="10509" width="3" style="29" customWidth="1"/>
    <col min="10510" max="10510" width="2.7109375" style="29" customWidth="1"/>
    <col min="10511" max="10511" width="2.42578125" style="29" customWidth="1"/>
    <col min="10512" max="10512" width="3.28515625" style="29" customWidth="1"/>
    <col min="10513" max="10513" width="3.5703125" style="29" customWidth="1"/>
    <col min="10514" max="10514" width="4" style="29" customWidth="1"/>
    <col min="10515" max="10515" width="3.42578125" style="29" customWidth="1"/>
    <col min="10516" max="10516" width="3" style="29" customWidth="1"/>
    <col min="10517" max="10750" width="11.42578125" style="29"/>
    <col min="10751" max="10751" width="44.42578125" style="29" customWidth="1"/>
    <col min="10752" max="10752" width="13" style="29" customWidth="1"/>
    <col min="10753" max="10758" width="2" style="29" customWidth="1"/>
    <col min="10759" max="10759" width="2.42578125" style="29" customWidth="1"/>
    <col min="10760" max="10760" width="3" style="29" customWidth="1"/>
    <col min="10761" max="10763" width="2" style="29" customWidth="1"/>
    <col min="10764" max="10764" width="2.85546875" style="29" customWidth="1"/>
    <col min="10765" max="10765" width="3" style="29" customWidth="1"/>
    <col min="10766" max="10766" width="2.7109375" style="29" customWidth="1"/>
    <col min="10767" max="10767" width="2.42578125" style="29" customWidth="1"/>
    <col min="10768" max="10768" width="3.28515625" style="29" customWidth="1"/>
    <col min="10769" max="10769" width="3.5703125" style="29" customWidth="1"/>
    <col min="10770" max="10770" width="4" style="29" customWidth="1"/>
    <col min="10771" max="10771" width="3.42578125" style="29" customWidth="1"/>
    <col min="10772" max="10772" width="3" style="29" customWidth="1"/>
    <col min="10773" max="11006" width="11.42578125" style="29"/>
    <col min="11007" max="11007" width="44.42578125" style="29" customWidth="1"/>
    <col min="11008" max="11008" width="13" style="29" customWidth="1"/>
    <col min="11009" max="11014" width="2" style="29" customWidth="1"/>
    <col min="11015" max="11015" width="2.42578125" style="29" customWidth="1"/>
    <col min="11016" max="11016" width="3" style="29" customWidth="1"/>
    <col min="11017" max="11019" width="2" style="29" customWidth="1"/>
    <col min="11020" max="11020" width="2.85546875" style="29" customWidth="1"/>
    <col min="11021" max="11021" width="3" style="29" customWidth="1"/>
    <col min="11022" max="11022" width="2.7109375" style="29" customWidth="1"/>
    <col min="11023" max="11023" width="2.42578125" style="29" customWidth="1"/>
    <col min="11024" max="11024" width="3.28515625" style="29" customWidth="1"/>
    <col min="11025" max="11025" width="3.5703125" style="29" customWidth="1"/>
    <col min="11026" max="11026" width="4" style="29" customWidth="1"/>
    <col min="11027" max="11027" width="3.42578125" style="29" customWidth="1"/>
    <col min="11028" max="11028" width="3" style="29" customWidth="1"/>
    <col min="11029" max="11262" width="11.42578125" style="29"/>
    <col min="11263" max="11263" width="44.42578125" style="29" customWidth="1"/>
    <col min="11264" max="11264" width="13" style="29" customWidth="1"/>
    <col min="11265" max="11270" width="2" style="29" customWidth="1"/>
    <col min="11271" max="11271" width="2.42578125" style="29" customWidth="1"/>
    <col min="11272" max="11272" width="3" style="29" customWidth="1"/>
    <col min="11273" max="11275" width="2" style="29" customWidth="1"/>
    <col min="11276" max="11276" width="2.85546875" style="29" customWidth="1"/>
    <col min="11277" max="11277" width="3" style="29" customWidth="1"/>
    <col min="11278" max="11278" width="2.7109375" style="29" customWidth="1"/>
    <col min="11279" max="11279" width="2.42578125" style="29" customWidth="1"/>
    <col min="11280" max="11280" width="3.28515625" style="29" customWidth="1"/>
    <col min="11281" max="11281" width="3.5703125" style="29" customWidth="1"/>
    <col min="11282" max="11282" width="4" style="29" customWidth="1"/>
    <col min="11283" max="11283" width="3.42578125" style="29" customWidth="1"/>
    <col min="11284" max="11284" width="3" style="29" customWidth="1"/>
    <col min="11285" max="11518" width="11.42578125" style="29"/>
    <col min="11519" max="11519" width="44.42578125" style="29" customWidth="1"/>
    <col min="11520" max="11520" width="13" style="29" customWidth="1"/>
    <col min="11521" max="11526" width="2" style="29" customWidth="1"/>
    <col min="11527" max="11527" width="2.42578125" style="29" customWidth="1"/>
    <col min="11528" max="11528" width="3" style="29" customWidth="1"/>
    <col min="11529" max="11531" width="2" style="29" customWidth="1"/>
    <col min="11532" max="11532" width="2.85546875" style="29" customWidth="1"/>
    <col min="11533" max="11533" width="3" style="29" customWidth="1"/>
    <col min="11534" max="11534" width="2.7109375" style="29" customWidth="1"/>
    <col min="11535" max="11535" width="2.42578125" style="29" customWidth="1"/>
    <col min="11536" max="11536" width="3.28515625" style="29" customWidth="1"/>
    <col min="11537" max="11537" width="3.5703125" style="29" customWidth="1"/>
    <col min="11538" max="11538" width="4" style="29" customWidth="1"/>
    <col min="11539" max="11539" width="3.42578125" style="29" customWidth="1"/>
    <col min="11540" max="11540" width="3" style="29" customWidth="1"/>
    <col min="11541" max="11774" width="11.42578125" style="29"/>
    <col min="11775" max="11775" width="44.42578125" style="29" customWidth="1"/>
    <col min="11776" max="11776" width="13" style="29" customWidth="1"/>
    <col min="11777" max="11782" width="2" style="29" customWidth="1"/>
    <col min="11783" max="11783" width="2.42578125" style="29" customWidth="1"/>
    <col min="11784" max="11784" width="3" style="29" customWidth="1"/>
    <col min="11785" max="11787" width="2" style="29" customWidth="1"/>
    <col min="11788" max="11788" width="2.85546875" style="29" customWidth="1"/>
    <col min="11789" max="11789" width="3" style="29" customWidth="1"/>
    <col min="11790" max="11790" width="2.7109375" style="29" customWidth="1"/>
    <col min="11791" max="11791" width="2.42578125" style="29" customWidth="1"/>
    <col min="11792" max="11792" width="3.28515625" style="29" customWidth="1"/>
    <col min="11793" max="11793" width="3.5703125" style="29" customWidth="1"/>
    <col min="11794" max="11794" width="4" style="29" customWidth="1"/>
    <col min="11795" max="11795" width="3.42578125" style="29" customWidth="1"/>
    <col min="11796" max="11796" width="3" style="29" customWidth="1"/>
    <col min="11797" max="12030" width="11.42578125" style="29"/>
    <col min="12031" max="12031" width="44.42578125" style="29" customWidth="1"/>
    <col min="12032" max="12032" width="13" style="29" customWidth="1"/>
    <col min="12033" max="12038" width="2" style="29" customWidth="1"/>
    <col min="12039" max="12039" width="2.42578125" style="29" customWidth="1"/>
    <col min="12040" max="12040" width="3" style="29" customWidth="1"/>
    <col min="12041" max="12043" width="2" style="29" customWidth="1"/>
    <col min="12044" max="12044" width="2.85546875" style="29" customWidth="1"/>
    <col min="12045" max="12045" width="3" style="29" customWidth="1"/>
    <col min="12046" max="12046" width="2.7109375" style="29" customWidth="1"/>
    <col min="12047" max="12047" width="2.42578125" style="29" customWidth="1"/>
    <col min="12048" max="12048" width="3.28515625" style="29" customWidth="1"/>
    <col min="12049" max="12049" width="3.5703125" style="29" customWidth="1"/>
    <col min="12050" max="12050" width="4" style="29" customWidth="1"/>
    <col min="12051" max="12051" width="3.42578125" style="29" customWidth="1"/>
    <col min="12052" max="12052" width="3" style="29" customWidth="1"/>
    <col min="12053" max="12286" width="11.42578125" style="29"/>
    <col min="12287" max="12287" width="44.42578125" style="29" customWidth="1"/>
    <col min="12288" max="12288" width="13" style="29" customWidth="1"/>
    <col min="12289" max="12294" width="2" style="29" customWidth="1"/>
    <col min="12295" max="12295" width="2.42578125" style="29" customWidth="1"/>
    <col min="12296" max="12296" width="3" style="29" customWidth="1"/>
    <col min="12297" max="12299" width="2" style="29" customWidth="1"/>
    <col min="12300" max="12300" width="2.85546875" style="29" customWidth="1"/>
    <col min="12301" max="12301" width="3" style="29" customWidth="1"/>
    <col min="12302" max="12302" width="2.7109375" style="29" customWidth="1"/>
    <col min="12303" max="12303" width="2.42578125" style="29" customWidth="1"/>
    <col min="12304" max="12304" width="3.28515625" style="29" customWidth="1"/>
    <col min="12305" max="12305" width="3.5703125" style="29" customWidth="1"/>
    <col min="12306" max="12306" width="4" style="29" customWidth="1"/>
    <col min="12307" max="12307" width="3.42578125" style="29" customWidth="1"/>
    <col min="12308" max="12308" width="3" style="29" customWidth="1"/>
    <col min="12309" max="12542" width="11.42578125" style="29"/>
    <col min="12543" max="12543" width="44.42578125" style="29" customWidth="1"/>
    <col min="12544" max="12544" width="13" style="29" customWidth="1"/>
    <col min="12545" max="12550" width="2" style="29" customWidth="1"/>
    <col min="12551" max="12551" width="2.42578125" style="29" customWidth="1"/>
    <col min="12552" max="12552" width="3" style="29" customWidth="1"/>
    <col min="12553" max="12555" width="2" style="29" customWidth="1"/>
    <col min="12556" max="12556" width="2.85546875" style="29" customWidth="1"/>
    <col min="12557" max="12557" width="3" style="29" customWidth="1"/>
    <col min="12558" max="12558" width="2.7109375" style="29" customWidth="1"/>
    <col min="12559" max="12559" width="2.42578125" style="29" customWidth="1"/>
    <col min="12560" max="12560" width="3.28515625" style="29" customWidth="1"/>
    <col min="12561" max="12561" width="3.5703125" style="29" customWidth="1"/>
    <col min="12562" max="12562" width="4" style="29" customWidth="1"/>
    <col min="12563" max="12563" width="3.42578125" style="29" customWidth="1"/>
    <col min="12564" max="12564" width="3" style="29" customWidth="1"/>
    <col min="12565" max="12798" width="11.42578125" style="29"/>
    <col min="12799" max="12799" width="44.42578125" style="29" customWidth="1"/>
    <col min="12800" max="12800" width="13" style="29" customWidth="1"/>
    <col min="12801" max="12806" width="2" style="29" customWidth="1"/>
    <col min="12807" max="12807" width="2.42578125" style="29" customWidth="1"/>
    <col min="12808" max="12808" width="3" style="29" customWidth="1"/>
    <col min="12809" max="12811" width="2" style="29" customWidth="1"/>
    <col min="12812" max="12812" width="2.85546875" style="29" customWidth="1"/>
    <col min="12813" max="12813" width="3" style="29" customWidth="1"/>
    <col min="12814" max="12814" width="2.7109375" style="29" customWidth="1"/>
    <col min="12815" max="12815" width="2.42578125" style="29" customWidth="1"/>
    <col min="12816" max="12816" width="3.28515625" style="29" customWidth="1"/>
    <col min="12817" max="12817" width="3.5703125" style="29" customWidth="1"/>
    <col min="12818" max="12818" width="4" style="29" customWidth="1"/>
    <col min="12819" max="12819" width="3.42578125" style="29" customWidth="1"/>
    <col min="12820" max="12820" width="3" style="29" customWidth="1"/>
    <col min="12821" max="13054" width="11.42578125" style="29"/>
    <col min="13055" max="13055" width="44.42578125" style="29" customWidth="1"/>
    <col min="13056" max="13056" width="13" style="29" customWidth="1"/>
    <col min="13057" max="13062" width="2" style="29" customWidth="1"/>
    <col min="13063" max="13063" width="2.42578125" style="29" customWidth="1"/>
    <col min="13064" max="13064" width="3" style="29" customWidth="1"/>
    <col min="13065" max="13067" width="2" style="29" customWidth="1"/>
    <col min="13068" max="13068" width="2.85546875" style="29" customWidth="1"/>
    <col min="13069" max="13069" width="3" style="29" customWidth="1"/>
    <col min="13070" max="13070" width="2.7109375" style="29" customWidth="1"/>
    <col min="13071" max="13071" width="2.42578125" style="29" customWidth="1"/>
    <col min="13072" max="13072" width="3.28515625" style="29" customWidth="1"/>
    <col min="13073" max="13073" width="3.5703125" style="29" customWidth="1"/>
    <col min="13074" max="13074" width="4" style="29" customWidth="1"/>
    <col min="13075" max="13075" width="3.42578125" style="29" customWidth="1"/>
    <col min="13076" max="13076" width="3" style="29" customWidth="1"/>
    <col min="13077" max="13310" width="11.42578125" style="29"/>
    <col min="13311" max="13311" width="44.42578125" style="29" customWidth="1"/>
    <col min="13312" max="13312" width="13" style="29" customWidth="1"/>
    <col min="13313" max="13318" width="2" style="29" customWidth="1"/>
    <col min="13319" max="13319" width="2.42578125" style="29" customWidth="1"/>
    <col min="13320" max="13320" width="3" style="29" customWidth="1"/>
    <col min="13321" max="13323" width="2" style="29" customWidth="1"/>
    <col min="13324" max="13324" width="2.85546875" style="29" customWidth="1"/>
    <col min="13325" max="13325" width="3" style="29" customWidth="1"/>
    <col min="13326" max="13326" width="2.7109375" style="29" customWidth="1"/>
    <col min="13327" max="13327" width="2.42578125" style="29" customWidth="1"/>
    <col min="13328" max="13328" width="3.28515625" style="29" customWidth="1"/>
    <col min="13329" max="13329" width="3.5703125" style="29" customWidth="1"/>
    <col min="13330" max="13330" width="4" style="29" customWidth="1"/>
    <col min="13331" max="13331" width="3.42578125" style="29" customWidth="1"/>
    <col min="13332" max="13332" width="3" style="29" customWidth="1"/>
    <col min="13333" max="13566" width="11.42578125" style="29"/>
    <col min="13567" max="13567" width="44.42578125" style="29" customWidth="1"/>
    <col min="13568" max="13568" width="13" style="29" customWidth="1"/>
    <col min="13569" max="13574" width="2" style="29" customWidth="1"/>
    <col min="13575" max="13575" width="2.42578125" style="29" customWidth="1"/>
    <col min="13576" max="13576" width="3" style="29" customWidth="1"/>
    <col min="13577" max="13579" width="2" style="29" customWidth="1"/>
    <col min="13580" max="13580" width="2.85546875" style="29" customWidth="1"/>
    <col min="13581" max="13581" width="3" style="29" customWidth="1"/>
    <col min="13582" max="13582" width="2.7109375" style="29" customWidth="1"/>
    <col min="13583" max="13583" width="2.42578125" style="29" customWidth="1"/>
    <col min="13584" max="13584" width="3.28515625" style="29" customWidth="1"/>
    <col min="13585" max="13585" width="3.5703125" style="29" customWidth="1"/>
    <col min="13586" max="13586" width="4" style="29" customWidth="1"/>
    <col min="13587" max="13587" width="3.42578125" style="29" customWidth="1"/>
    <col min="13588" max="13588" width="3" style="29" customWidth="1"/>
    <col min="13589" max="13822" width="11.42578125" style="29"/>
    <col min="13823" max="13823" width="44.42578125" style="29" customWidth="1"/>
    <col min="13824" max="13824" width="13" style="29" customWidth="1"/>
    <col min="13825" max="13830" width="2" style="29" customWidth="1"/>
    <col min="13831" max="13831" width="2.42578125" style="29" customWidth="1"/>
    <col min="13832" max="13832" width="3" style="29" customWidth="1"/>
    <col min="13833" max="13835" width="2" style="29" customWidth="1"/>
    <col min="13836" max="13836" width="2.85546875" style="29" customWidth="1"/>
    <col min="13837" max="13837" width="3" style="29" customWidth="1"/>
    <col min="13838" max="13838" width="2.7109375" style="29" customWidth="1"/>
    <col min="13839" max="13839" width="2.42578125" style="29" customWidth="1"/>
    <col min="13840" max="13840" width="3.28515625" style="29" customWidth="1"/>
    <col min="13841" max="13841" width="3.5703125" style="29" customWidth="1"/>
    <col min="13842" max="13842" width="4" style="29" customWidth="1"/>
    <col min="13843" max="13843" width="3.42578125" style="29" customWidth="1"/>
    <col min="13844" max="13844" width="3" style="29" customWidth="1"/>
    <col min="13845" max="14078" width="11.42578125" style="29"/>
    <col min="14079" max="14079" width="44.42578125" style="29" customWidth="1"/>
    <col min="14080" max="14080" width="13" style="29" customWidth="1"/>
    <col min="14081" max="14086" width="2" style="29" customWidth="1"/>
    <col min="14087" max="14087" width="2.42578125" style="29" customWidth="1"/>
    <col min="14088" max="14088" width="3" style="29" customWidth="1"/>
    <col min="14089" max="14091" width="2" style="29" customWidth="1"/>
    <col min="14092" max="14092" width="2.85546875" style="29" customWidth="1"/>
    <col min="14093" max="14093" width="3" style="29" customWidth="1"/>
    <col min="14094" max="14094" width="2.7109375" style="29" customWidth="1"/>
    <col min="14095" max="14095" width="2.42578125" style="29" customWidth="1"/>
    <col min="14096" max="14096" width="3.28515625" style="29" customWidth="1"/>
    <col min="14097" max="14097" width="3.5703125" style="29" customWidth="1"/>
    <col min="14098" max="14098" width="4" style="29" customWidth="1"/>
    <col min="14099" max="14099" width="3.42578125" style="29" customWidth="1"/>
    <col min="14100" max="14100" width="3" style="29" customWidth="1"/>
    <col min="14101" max="14334" width="11.42578125" style="29"/>
    <col min="14335" max="14335" width="44.42578125" style="29" customWidth="1"/>
    <col min="14336" max="14336" width="13" style="29" customWidth="1"/>
    <col min="14337" max="14342" width="2" style="29" customWidth="1"/>
    <col min="14343" max="14343" width="2.42578125" style="29" customWidth="1"/>
    <col min="14344" max="14344" width="3" style="29" customWidth="1"/>
    <col min="14345" max="14347" width="2" style="29" customWidth="1"/>
    <col min="14348" max="14348" width="2.85546875" style="29" customWidth="1"/>
    <col min="14349" max="14349" width="3" style="29" customWidth="1"/>
    <col min="14350" max="14350" width="2.7109375" style="29" customWidth="1"/>
    <col min="14351" max="14351" width="2.42578125" style="29" customWidth="1"/>
    <col min="14352" max="14352" width="3.28515625" style="29" customWidth="1"/>
    <col min="14353" max="14353" width="3.5703125" style="29" customWidth="1"/>
    <col min="14354" max="14354" width="4" style="29" customWidth="1"/>
    <col min="14355" max="14355" width="3.42578125" style="29" customWidth="1"/>
    <col min="14356" max="14356" width="3" style="29" customWidth="1"/>
    <col min="14357" max="14590" width="11.42578125" style="29"/>
    <col min="14591" max="14591" width="44.42578125" style="29" customWidth="1"/>
    <col min="14592" max="14592" width="13" style="29" customWidth="1"/>
    <col min="14593" max="14598" width="2" style="29" customWidth="1"/>
    <col min="14599" max="14599" width="2.42578125" style="29" customWidth="1"/>
    <col min="14600" max="14600" width="3" style="29" customWidth="1"/>
    <col min="14601" max="14603" width="2" style="29" customWidth="1"/>
    <col min="14604" max="14604" width="2.85546875" style="29" customWidth="1"/>
    <col min="14605" max="14605" width="3" style="29" customWidth="1"/>
    <col min="14606" max="14606" width="2.7109375" style="29" customWidth="1"/>
    <col min="14607" max="14607" width="2.42578125" style="29" customWidth="1"/>
    <col min="14608" max="14608" width="3.28515625" style="29" customWidth="1"/>
    <col min="14609" max="14609" width="3.5703125" style="29" customWidth="1"/>
    <col min="14610" max="14610" width="4" style="29" customWidth="1"/>
    <col min="14611" max="14611" width="3.42578125" style="29" customWidth="1"/>
    <col min="14612" max="14612" width="3" style="29" customWidth="1"/>
    <col min="14613" max="14846" width="11.42578125" style="29"/>
    <col min="14847" max="14847" width="44.42578125" style="29" customWidth="1"/>
    <col min="14848" max="14848" width="13" style="29" customWidth="1"/>
    <col min="14849" max="14854" width="2" style="29" customWidth="1"/>
    <col min="14855" max="14855" width="2.42578125" style="29" customWidth="1"/>
    <col min="14856" max="14856" width="3" style="29" customWidth="1"/>
    <col min="14857" max="14859" width="2" style="29" customWidth="1"/>
    <col min="14860" max="14860" width="2.85546875" style="29" customWidth="1"/>
    <col min="14861" max="14861" width="3" style="29" customWidth="1"/>
    <col min="14862" max="14862" width="2.7109375" style="29" customWidth="1"/>
    <col min="14863" max="14863" width="2.42578125" style="29" customWidth="1"/>
    <col min="14864" max="14864" width="3.28515625" style="29" customWidth="1"/>
    <col min="14865" max="14865" width="3.5703125" style="29" customWidth="1"/>
    <col min="14866" max="14866" width="4" style="29" customWidth="1"/>
    <col min="14867" max="14867" width="3.42578125" style="29" customWidth="1"/>
    <col min="14868" max="14868" width="3" style="29" customWidth="1"/>
    <col min="14869" max="15102" width="11.42578125" style="29"/>
    <col min="15103" max="15103" width="44.42578125" style="29" customWidth="1"/>
    <col min="15104" max="15104" width="13" style="29" customWidth="1"/>
    <col min="15105" max="15110" width="2" style="29" customWidth="1"/>
    <col min="15111" max="15111" width="2.42578125" style="29" customWidth="1"/>
    <col min="15112" max="15112" width="3" style="29" customWidth="1"/>
    <col min="15113" max="15115" width="2" style="29" customWidth="1"/>
    <col min="15116" max="15116" width="2.85546875" style="29" customWidth="1"/>
    <col min="15117" max="15117" width="3" style="29" customWidth="1"/>
    <col min="15118" max="15118" width="2.7109375" style="29" customWidth="1"/>
    <col min="15119" max="15119" width="2.42578125" style="29" customWidth="1"/>
    <col min="15120" max="15120" width="3.28515625" style="29" customWidth="1"/>
    <col min="15121" max="15121" width="3.5703125" style="29" customWidth="1"/>
    <col min="15122" max="15122" width="4" style="29" customWidth="1"/>
    <col min="15123" max="15123" width="3.42578125" style="29" customWidth="1"/>
    <col min="15124" max="15124" width="3" style="29" customWidth="1"/>
    <col min="15125" max="15358" width="11.42578125" style="29"/>
    <col min="15359" max="15359" width="44.42578125" style="29" customWidth="1"/>
    <col min="15360" max="15360" width="13" style="29" customWidth="1"/>
    <col min="15361" max="15366" width="2" style="29" customWidth="1"/>
    <col min="15367" max="15367" width="2.42578125" style="29" customWidth="1"/>
    <col min="15368" max="15368" width="3" style="29" customWidth="1"/>
    <col min="15369" max="15371" width="2" style="29" customWidth="1"/>
    <col min="15372" max="15372" width="2.85546875" style="29" customWidth="1"/>
    <col min="15373" max="15373" width="3" style="29" customWidth="1"/>
    <col min="15374" max="15374" width="2.7109375" style="29" customWidth="1"/>
    <col min="15375" max="15375" width="2.42578125" style="29" customWidth="1"/>
    <col min="15376" max="15376" width="3.28515625" style="29" customWidth="1"/>
    <col min="15377" max="15377" width="3.5703125" style="29" customWidth="1"/>
    <col min="15378" max="15378" width="4" style="29" customWidth="1"/>
    <col min="15379" max="15379" width="3.42578125" style="29" customWidth="1"/>
    <col min="15380" max="15380" width="3" style="29" customWidth="1"/>
    <col min="15381" max="15614" width="11.42578125" style="29"/>
    <col min="15615" max="15615" width="44.42578125" style="29" customWidth="1"/>
    <col min="15616" max="15616" width="13" style="29" customWidth="1"/>
    <col min="15617" max="15622" width="2" style="29" customWidth="1"/>
    <col min="15623" max="15623" width="2.42578125" style="29" customWidth="1"/>
    <col min="15624" max="15624" width="3" style="29" customWidth="1"/>
    <col min="15625" max="15627" width="2" style="29" customWidth="1"/>
    <col min="15628" max="15628" width="2.85546875" style="29" customWidth="1"/>
    <col min="15629" max="15629" width="3" style="29" customWidth="1"/>
    <col min="15630" max="15630" width="2.7109375" style="29" customWidth="1"/>
    <col min="15631" max="15631" width="2.42578125" style="29" customWidth="1"/>
    <col min="15632" max="15632" width="3.28515625" style="29" customWidth="1"/>
    <col min="15633" max="15633" width="3.5703125" style="29" customWidth="1"/>
    <col min="15634" max="15634" width="4" style="29" customWidth="1"/>
    <col min="15635" max="15635" width="3.42578125" style="29" customWidth="1"/>
    <col min="15636" max="15636" width="3" style="29" customWidth="1"/>
    <col min="15637" max="15870" width="11.42578125" style="29"/>
    <col min="15871" max="15871" width="44.42578125" style="29" customWidth="1"/>
    <col min="15872" max="15872" width="13" style="29" customWidth="1"/>
    <col min="15873" max="15878" width="2" style="29" customWidth="1"/>
    <col min="15879" max="15879" width="2.42578125" style="29" customWidth="1"/>
    <col min="15880" max="15880" width="3" style="29" customWidth="1"/>
    <col min="15881" max="15883" width="2" style="29" customWidth="1"/>
    <col min="15884" max="15884" width="2.85546875" style="29" customWidth="1"/>
    <col min="15885" max="15885" width="3" style="29" customWidth="1"/>
    <col min="15886" max="15886" width="2.7109375" style="29" customWidth="1"/>
    <col min="15887" max="15887" width="2.42578125" style="29" customWidth="1"/>
    <col min="15888" max="15888" width="3.28515625" style="29" customWidth="1"/>
    <col min="15889" max="15889" width="3.5703125" style="29" customWidth="1"/>
    <col min="15890" max="15890" width="4" style="29" customWidth="1"/>
    <col min="15891" max="15891" width="3.42578125" style="29" customWidth="1"/>
    <col min="15892" max="15892" width="3" style="29" customWidth="1"/>
    <col min="15893" max="16126" width="11.42578125" style="29"/>
    <col min="16127" max="16127" width="44.42578125" style="29" customWidth="1"/>
    <col min="16128" max="16128" width="13" style="29" customWidth="1"/>
    <col min="16129" max="16134" width="2" style="29" customWidth="1"/>
    <col min="16135" max="16135" width="2.42578125" style="29" customWidth="1"/>
    <col min="16136" max="16136" width="3" style="29" customWidth="1"/>
    <col min="16137" max="16139" width="2" style="29" customWidth="1"/>
    <col min="16140" max="16140" width="2.85546875" style="29" customWidth="1"/>
    <col min="16141" max="16141" width="3" style="29" customWidth="1"/>
    <col min="16142" max="16142" width="2.7109375" style="29" customWidth="1"/>
    <col min="16143" max="16143" width="2.42578125" style="29" customWidth="1"/>
    <col min="16144" max="16144" width="3.28515625" style="29" customWidth="1"/>
    <col min="16145" max="16145" width="3.5703125" style="29" customWidth="1"/>
    <col min="16146" max="16146" width="4" style="29" customWidth="1"/>
    <col min="16147" max="16147" width="3.42578125" style="29" customWidth="1"/>
    <col min="16148" max="16148" width="3" style="29" customWidth="1"/>
    <col min="16149" max="16384" width="11.42578125" style="29"/>
  </cols>
  <sheetData>
    <row r="1" spans="1:92" x14ac:dyDescent="0.2">
      <c r="A1" s="483" t="s">
        <v>9</v>
      </c>
      <c r="B1" s="483"/>
      <c r="C1" s="25"/>
      <c r="D1" s="26"/>
      <c r="E1" s="26"/>
      <c r="F1" s="26"/>
      <c r="G1" s="27"/>
      <c r="H1" s="2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92" x14ac:dyDescent="0.2">
      <c r="A2" s="484" t="s">
        <v>10</v>
      </c>
      <c r="B2" s="484"/>
    </row>
    <row r="3" spans="1:92" x14ac:dyDescent="0.2">
      <c r="A3" s="34"/>
    </row>
    <row r="4" spans="1:92" x14ac:dyDescent="0.2">
      <c r="A4" s="484" t="str">
        <f>+'Cuadro de Costos'!A1:D1</f>
        <v>PROGRAMA DE MEJORAMIENTO Y CONSERVACION DE CORREDORES VIALES</v>
      </c>
      <c r="B4" s="484"/>
    </row>
    <row r="5" spans="1:92" x14ac:dyDescent="0.2">
      <c r="A5" s="34"/>
    </row>
    <row r="6" spans="1:92" x14ac:dyDescent="0.2">
      <c r="A6" s="485" t="s">
        <v>11</v>
      </c>
      <c r="B6" s="485"/>
    </row>
    <row r="7" spans="1:92" s="28" customFormat="1" x14ac:dyDescent="0.2">
      <c r="A7" s="36"/>
      <c r="B7" s="37"/>
      <c r="C7" s="38"/>
      <c r="D7" s="38"/>
      <c r="E7" s="39"/>
      <c r="F7" s="39"/>
      <c r="G7" s="40" t="s">
        <v>12</v>
      </c>
      <c r="H7" s="40" t="s">
        <v>13</v>
      </c>
      <c r="I7" s="479" t="s">
        <v>14</v>
      </c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 t="s">
        <v>15</v>
      </c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 t="s">
        <v>16</v>
      </c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 t="s">
        <v>17</v>
      </c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479" t="s">
        <v>18</v>
      </c>
      <c r="BF7" s="479"/>
      <c r="BG7" s="479"/>
      <c r="BH7" s="479"/>
      <c r="BI7" s="479"/>
      <c r="BJ7" s="479"/>
      <c r="BK7" s="479"/>
      <c r="BL7" s="479"/>
      <c r="BM7" s="479"/>
      <c r="BN7" s="479"/>
      <c r="BO7" s="479"/>
      <c r="BP7" s="479"/>
      <c r="BQ7" s="479" t="s">
        <v>111</v>
      </c>
      <c r="BR7" s="479"/>
      <c r="BS7" s="479"/>
      <c r="BT7" s="479"/>
      <c r="BU7" s="479"/>
      <c r="BV7" s="479"/>
      <c r="BW7" s="479"/>
      <c r="BX7" s="479"/>
      <c r="BY7" s="479"/>
      <c r="BZ7" s="479"/>
      <c r="CA7" s="479"/>
      <c r="CB7" s="479"/>
      <c r="CC7" s="479" t="s">
        <v>112</v>
      </c>
      <c r="CD7" s="479"/>
      <c r="CE7" s="479"/>
      <c r="CF7" s="479"/>
      <c r="CG7" s="479"/>
      <c r="CH7" s="479"/>
      <c r="CI7" s="479"/>
      <c r="CJ7" s="479"/>
      <c r="CK7" s="479"/>
      <c r="CL7" s="479"/>
      <c r="CM7" s="479"/>
      <c r="CN7" s="479"/>
    </row>
    <row r="8" spans="1:92" x14ac:dyDescent="0.2">
      <c r="A8" s="480"/>
      <c r="B8" s="481" t="s">
        <v>19</v>
      </c>
      <c r="C8" s="481" t="s">
        <v>20</v>
      </c>
      <c r="D8" s="482" t="s">
        <v>21</v>
      </c>
      <c r="E8" s="482" t="s">
        <v>22</v>
      </c>
      <c r="F8" s="482" t="s">
        <v>23</v>
      </c>
      <c r="G8" s="41" t="s">
        <v>24</v>
      </c>
      <c r="H8" s="41"/>
      <c r="I8" s="478" t="s">
        <v>25</v>
      </c>
      <c r="J8" s="478"/>
      <c r="K8" s="478"/>
      <c r="L8" s="478" t="s">
        <v>26</v>
      </c>
      <c r="M8" s="478"/>
      <c r="N8" s="478"/>
      <c r="O8" s="478" t="s">
        <v>27</v>
      </c>
      <c r="P8" s="478"/>
      <c r="Q8" s="478"/>
      <c r="R8" s="478" t="s">
        <v>28</v>
      </c>
      <c r="S8" s="478"/>
      <c r="T8" s="478"/>
      <c r="U8" s="478" t="s">
        <v>25</v>
      </c>
      <c r="V8" s="478"/>
      <c r="W8" s="478"/>
      <c r="X8" s="478" t="s">
        <v>26</v>
      </c>
      <c r="Y8" s="478"/>
      <c r="Z8" s="478"/>
      <c r="AA8" s="478" t="s">
        <v>27</v>
      </c>
      <c r="AB8" s="478"/>
      <c r="AC8" s="478"/>
      <c r="AD8" s="478" t="s">
        <v>28</v>
      </c>
      <c r="AE8" s="478"/>
      <c r="AF8" s="478"/>
      <c r="AG8" s="478" t="s">
        <v>25</v>
      </c>
      <c r="AH8" s="478"/>
      <c r="AI8" s="478"/>
      <c r="AJ8" s="478" t="s">
        <v>26</v>
      </c>
      <c r="AK8" s="478"/>
      <c r="AL8" s="478"/>
      <c r="AM8" s="478" t="s">
        <v>27</v>
      </c>
      <c r="AN8" s="478"/>
      <c r="AO8" s="478"/>
      <c r="AP8" s="478" t="s">
        <v>28</v>
      </c>
      <c r="AQ8" s="478"/>
      <c r="AR8" s="478"/>
      <c r="AS8" s="478" t="s">
        <v>25</v>
      </c>
      <c r="AT8" s="478"/>
      <c r="AU8" s="478"/>
      <c r="AV8" s="478" t="s">
        <v>26</v>
      </c>
      <c r="AW8" s="478"/>
      <c r="AX8" s="478"/>
      <c r="AY8" s="478" t="s">
        <v>27</v>
      </c>
      <c r="AZ8" s="478"/>
      <c r="BA8" s="478"/>
      <c r="BB8" s="478" t="s">
        <v>28</v>
      </c>
      <c r="BC8" s="478"/>
      <c r="BD8" s="478"/>
      <c r="BE8" s="478" t="s">
        <v>25</v>
      </c>
      <c r="BF8" s="478"/>
      <c r="BG8" s="478"/>
      <c r="BH8" s="478" t="s">
        <v>26</v>
      </c>
      <c r="BI8" s="478"/>
      <c r="BJ8" s="478"/>
      <c r="BK8" s="478" t="s">
        <v>27</v>
      </c>
      <c r="BL8" s="478"/>
      <c r="BM8" s="478"/>
      <c r="BN8" s="478" t="s">
        <v>28</v>
      </c>
      <c r="BO8" s="478"/>
      <c r="BP8" s="478"/>
      <c r="BQ8" s="478" t="s">
        <v>25</v>
      </c>
      <c r="BR8" s="478"/>
      <c r="BS8" s="478"/>
      <c r="BT8" s="478" t="s">
        <v>26</v>
      </c>
      <c r="BU8" s="478"/>
      <c r="BV8" s="478"/>
      <c r="BW8" s="478" t="s">
        <v>27</v>
      </c>
      <c r="BX8" s="478"/>
      <c r="BY8" s="478"/>
      <c r="BZ8" s="478" t="s">
        <v>28</v>
      </c>
      <c r="CA8" s="478"/>
      <c r="CB8" s="478"/>
      <c r="CC8" s="478" t="s">
        <v>25</v>
      </c>
      <c r="CD8" s="478"/>
      <c r="CE8" s="478"/>
      <c r="CF8" s="478" t="s">
        <v>26</v>
      </c>
      <c r="CG8" s="478"/>
      <c r="CH8" s="478"/>
      <c r="CI8" s="478" t="s">
        <v>27</v>
      </c>
      <c r="CJ8" s="478"/>
      <c r="CK8" s="478"/>
      <c r="CL8" s="478" t="s">
        <v>28</v>
      </c>
      <c r="CM8" s="478"/>
      <c r="CN8" s="478"/>
    </row>
    <row r="9" spans="1:92" x14ac:dyDescent="0.2">
      <c r="A9" s="480"/>
      <c r="B9" s="481"/>
      <c r="C9" s="481"/>
      <c r="D9" s="482"/>
      <c r="E9" s="482"/>
      <c r="F9" s="482"/>
      <c r="G9" s="41"/>
      <c r="H9" s="41"/>
      <c r="I9" s="154">
        <v>1</v>
      </c>
      <c r="J9" s="154">
        <v>2</v>
      </c>
      <c r="K9" s="154">
        <v>3</v>
      </c>
      <c r="L9" s="154">
        <v>4</v>
      </c>
      <c r="M9" s="154">
        <v>5</v>
      </c>
      <c r="N9" s="154">
        <v>6</v>
      </c>
      <c r="O9" s="154">
        <v>7</v>
      </c>
      <c r="P9" s="154">
        <v>8</v>
      </c>
      <c r="Q9" s="154">
        <v>9</v>
      </c>
      <c r="R9" s="154">
        <v>10</v>
      </c>
      <c r="S9" s="154">
        <v>11</v>
      </c>
      <c r="T9" s="154">
        <v>12</v>
      </c>
      <c r="U9" s="154">
        <v>13</v>
      </c>
      <c r="V9" s="154">
        <v>14</v>
      </c>
      <c r="W9" s="154">
        <v>15</v>
      </c>
      <c r="X9" s="154">
        <v>16</v>
      </c>
      <c r="Y9" s="154">
        <v>17</v>
      </c>
      <c r="Z9" s="154">
        <v>18</v>
      </c>
      <c r="AA9" s="154">
        <v>19</v>
      </c>
      <c r="AB9" s="154">
        <v>20</v>
      </c>
      <c r="AC9" s="154">
        <v>21</v>
      </c>
      <c r="AD9" s="154">
        <v>22</v>
      </c>
      <c r="AE9" s="154">
        <v>23</v>
      </c>
      <c r="AF9" s="154">
        <v>24</v>
      </c>
      <c r="AG9" s="154">
        <v>25</v>
      </c>
      <c r="AH9" s="154">
        <v>26</v>
      </c>
      <c r="AI9" s="154">
        <v>27</v>
      </c>
      <c r="AJ9" s="154">
        <v>28</v>
      </c>
      <c r="AK9" s="154">
        <v>29</v>
      </c>
      <c r="AL9" s="154">
        <v>30</v>
      </c>
      <c r="AM9" s="154">
        <v>31</v>
      </c>
      <c r="AN9" s="154">
        <v>32</v>
      </c>
      <c r="AO9" s="154">
        <v>33</v>
      </c>
      <c r="AP9" s="154">
        <v>34</v>
      </c>
      <c r="AQ9" s="154">
        <v>35</v>
      </c>
      <c r="AR9" s="154">
        <v>36</v>
      </c>
      <c r="AS9" s="154">
        <v>37</v>
      </c>
      <c r="AT9" s="154">
        <v>38</v>
      </c>
      <c r="AU9" s="154">
        <v>39</v>
      </c>
      <c r="AV9" s="154">
        <v>40</v>
      </c>
      <c r="AW9" s="154">
        <v>41</v>
      </c>
      <c r="AX9" s="154">
        <v>42</v>
      </c>
      <c r="AY9" s="154">
        <v>43</v>
      </c>
      <c r="AZ9" s="154">
        <v>44</v>
      </c>
      <c r="BA9" s="154">
        <v>45</v>
      </c>
      <c r="BB9" s="154">
        <v>46</v>
      </c>
      <c r="BC9" s="154">
        <v>47</v>
      </c>
      <c r="BD9" s="154">
        <v>48</v>
      </c>
      <c r="BE9" s="154">
        <v>49</v>
      </c>
      <c r="BF9" s="154">
        <v>50</v>
      </c>
      <c r="BG9" s="154">
        <v>51</v>
      </c>
      <c r="BH9" s="154">
        <v>52</v>
      </c>
      <c r="BI9" s="154">
        <v>53</v>
      </c>
      <c r="BJ9" s="154">
        <v>54</v>
      </c>
      <c r="BK9" s="154">
        <v>55</v>
      </c>
      <c r="BL9" s="154">
        <v>56</v>
      </c>
      <c r="BM9" s="154">
        <v>57</v>
      </c>
      <c r="BN9" s="154">
        <v>58</v>
      </c>
      <c r="BO9" s="154">
        <v>59</v>
      </c>
      <c r="BP9" s="154">
        <v>60</v>
      </c>
      <c r="BQ9" s="156">
        <v>61</v>
      </c>
      <c r="BR9" s="156">
        <v>62</v>
      </c>
      <c r="BS9" s="156">
        <v>63</v>
      </c>
      <c r="BT9" s="156">
        <v>64</v>
      </c>
      <c r="BU9" s="156">
        <v>65</v>
      </c>
      <c r="BV9" s="156">
        <v>66</v>
      </c>
      <c r="BW9" s="156">
        <v>67</v>
      </c>
      <c r="BX9" s="156">
        <v>68</v>
      </c>
      <c r="BY9" s="156">
        <v>69</v>
      </c>
      <c r="BZ9" s="156">
        <v>70</v>
      </c>
      <c r="CA9" s="156">
        <v>71</v>
      </c>
      <c r="CB9" s="156">
        <v>72</v>
      </c>
      <c r="CC9" s="156">
        <v>73</v>
      </c>
      <c r="CD9" s="156">
        <v>74</v>
      </c>
      <c r="CE9" s="156">
        <v>75</v>
      </c>
      <c r="CF9" s="156">
        <v>76</v>
      </c>
      <c r="CG9" s="156">
        <v>77</v>
      </c>
      <c r="CH9" s="156">
        <v>78</v>
      </c>
      <c r="CI9" s="156">
        <v>79</v>
      </c>
      <c r="CJ9" s="156">
        <v>80</v>
      </c>
      <c r="CK9" s="156">
        <v>81</v>
      </c>
      <c r="CL9" s="156">
        <v>82</v>
      </c>
      <c r="CM9" s="156">
        <v>83</v>
      </c>
      <c r="CN9" s="156">
        <v>84</v>
      </c>
    </row>
    <row r="10" spans="1:92" x14ac:dyDescent="0.2">
      <c r="A10" s="42" t="s">
        <v>29</v>
      </c>
      <c r="B10" s="43" t="s">
        <v>30</v>
      </c>
      <c r="C10" s="44"/>
      <c r="D10" s="45"/>
      <c r="E10" s="46"/>
      <c r="F10" s="46"/>
      <c r="G10" s="47"/>
      <c r="H10" s="47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</row>
    <row r="11" spans="1:92" x14ac:dyDescent="0.2">
      <c r="A11" s="50" t="s">
        <v>31</v>
      </c>
      <c r="B11" s="51" t="s">
        <v>32</v>
      </c>
      <c r="C11" s="52"/>
      <c r="D11" s="53"/>
      <c r="E11" s="54"/>
      <c r="F11" s="54"/>
      <c r="G11" s="55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49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</row>
    <row r="12" spans="1:92" x14ac:dyDescent="0.2">
      <c r="A12" s="57" t="s">
        <v>33</v>
      </c>
      <c r="B12" s="58" t="s">
        <v>34</v>
      </c>
      <c r="C12" s="90" t="s">
        <v>414</v>
      </c>
      <c r="D12" s="59"/>
      <c r="E12" s="90" t="s">
        <v>421</v>
      </c>
      <c r="F12" s="90"/>
      <c r="G12" s="60"/>
      <c r="H12" s="60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49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</row>
    <row r="13" spans="1:92" x14ac:dyDescent="0.2">
      <c r="A13" s="57" t="s">
        <v>35</v>
      </c>
      <c r="B13" s="58" t="s">
        <v>36</v>
      </c>
      <c r="C13" s="90" t="s">
        <v>413</v>
      </c>
      <c r="D13" s="59"/>
      <c r="E13" s="90" t="s">
        <v>422</v>
      </c>
      <c r="F13" s="90" t="s">
        <v>423</v>
      </c>
      <c r="G13" s="60"/>
      <c r="H13" s="60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49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</row>
    <row r="14" spans="1:92" x14ac:dyDescent="0.2">
      <c r="A14" s="57" t="s">
        <v>37</v>
      </c>
      <c r="B14" s="58" t="s">
        <v>38</v>
      </c>
      <c r="C14" s="90" t="s">
        <v>414</v>
      </c>
      <c r="D14" s="59"/>
      <c r="E14" s="90" t="s">
        <v>422</v>
      </c>
      <c r="F14" s="90"/>
      <c r="G14" s="60"/>
      <c r="H14" s="60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49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</row>
    <row r="15" spans="1:92" x14ac:dyDescent="0.2">
      <c r="A15" s="57" t="s">
        <v>39</v>
      </c>
      <c r="B15" s="58" t="s">
        <v>40</v>
      </c>
      <c r="C15" s="90" t="s">
        <v>427</v>
      </c>
      <c r="D15" s="59"/>
      <c r="E15" s="90" t="s">
        <v>424</v>
      </c>
      <c r="F15" s="90"/>
      <c r="G15" s="60"/>
      <c r="H15" s="60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49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</row>
    <row r="16" spans="1:92" x14ac:dyDescent="0.2">
      <c r="A16" s="57" t="s">
        <v>41</v>
      </c>
      <c r="B16" s="58" t="s">
        <v>42</v>
      </c>
      <c r="C16" s="90" t="s">
        <v>414</v>
      </c>
      <c r="D16" s="59"/>
      <c r="E16" s="90" t="s">
        <v>425</v>
      </c>
      <c r="F16" s="90"/>
      <c r="G16" s="60"/>
      <c r="H16" s="60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49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</row>
    <row r="17" spans="1:92" x14ac:dyDescent="0.2">
      <c r="A17" s="57" t="s">
        <v>43</v>
      </c>
      <c r="B17" s="58" t="s">
        <v>44</v>
      </c>
      <c r="C17" s="90" t="s">
        <v>414</v>
      </c>
      <c r="D17" s="59"/>
      <c r="E17" s="90" t="s">
        <v>426</v>
      </c>
      <c r="F17" s="90"/>
      <c r="G17" s="60"/>
      <c r="H17" s="60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49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</row>
    <row r="18" spans="1:92" x14ac:dyDescent="0.2">
      <c r="A18" s="50"/>
      <c r="B18" s="51" t="s">
        <v>45</v>
      </c>
      <c r="C18" s="52"/>
      <c r="D18" s="53"/>
      <c r="E18" s="54"/>
      <c r="F18" s="54"/>
      <c r="G18" s="55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49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</row>
    <row r="19" spans="1:92" x14ac:dyDescent="0.2">
      <c r="A19" s="57" t="s">
        <v>46</v>
      </c>
      <c r="B19" s="58" t="s">
        <v>47</v>
      </c>
      <c r="C19" s="90"/>
      <c r="D19" s="59"/>
      <c r="E19" s="90" t="s">
        <v>415</v>
      </c>
      <c r="F19" s="90"/>
      <c r="G19" s="60"/>
      <c r="H19" s="60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4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</row>
    <row r="20" spans="1:92" x14ac:dyDescent="0.2">
      <c r="A20" s="57" t="s">
        <v>48</v>
      </c>
      <c r="B20" s="58" t="s">
        <v>49</v>
      </c>
      <c r="C20" s="90"/>
      <c r="D20" s="59"/>
      <c r="E20" s="90" t="s">
        <v>416</v>
      </c>
      <c r="F20" s="90"/>
      <c r="G20" s="60"/>
      <c r="H20" s="60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49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</row>
    <row r="21" spans="1:92" x14ac:dyDescent="0.2">
      <c r="A21" s="57" t="s">
        <v>50</v>
      </c>
      <c r="B21" s="58" t="s">
        <v>51</v>
      </c>
      <c r="C21" s="90"/>
      <c r="D21" s="59"/>
      <c r="E21" s="90" t="s">
        <v>417</v>
      </c>
      <c r="F21" s="90"/>
      <c r="G21" s="60"/>
      <c r="H21" s="60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49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</row>
    <row r="22" spans="1:92" x14ac:dyDescent="0.2">
      <c r="A22" s="57" t="s">
        <v>52</v>
      </c>
      <c r="B22" s="58" t="s">
        <v>53</v>
      </c>
      <c r="C22" s="90" t="s">
        <v>428</v>
      </c>
      <c r="D22" s="59"/>
      <c r="E22" s="90" t="s">
        <v>418</v>
      </c>
      <c r="F22" s="90" t="s">
        <v>419</v>
      </c>
      <c r="G22" s="60"/>
      <c r="H22" s="60"/>
      <c r="I22" s="56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</row>
    <row r="23" spans="1:92" x14ac:dyDescent="0.2">
      <c r="A23" s="57" t="s">
        <v>54</v>
      </c>
      <c r="B23" s="58" t="s">
        <v>55</v>
      </c>
      <c r="C23" s="90"/>
      <c r="D23" s="59"/>
      <c r="E23" s="90" t="s">
        <v>420</v>
      </c>
      <c r="F23" s="90"/>
      <c r="G23" s="60"/>
      <c r="H23" s="60"/>
      <c r="I23" s="64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</row>
    <row r="24" spans="1:92" s="73" customFormat="1" x14ac:dyDescent="0.2">
      <c r="A24" s="66" t="s">
        <v>56</v>
      </c>
      <c r="B24" s="67" t="s">
        <v>57</v>
      </c>
      <c r="C24" s="68"/>
      <c r="D24" s="69"/>
      <c r="E24" s="69"/>
      <c r="F24" s="69"/>
      <c r="G24" s="70"/>
      <c r="H24" s="70"/>
      <c r="I24" s="71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</row>
    <row r="25" spans="1:92" s="73" customFormat="1" x14ac:dyDescent="0.2">
      <c r="A25" s="74">
        <f>'[2]4. CC D'!A8</f>
        <v>0</v>
      </c>
      <c r="B25" s="75" t="str">
        <f>+A4</f>
        <v>PROGRAMA DE MEJORAMIENTO Y CONSERVACION DE CORREDORES VIALES</v>
      </c>
      <c r="C25" s="76"/>
      <c r="D25" s="77"/>
      <c r="E25" s="77"/>
      <c r="F25" s="77"/>
      <c r="G25" s="78">
        <f>+'4. CC D'!I8</f>
        <v>90000000</v>
      </c>
      <c r="H25" s="78">
        <f>'[2]4. CC D'!G8</f>
        <v>0</v>
      </c>
      <c r="I25" s="71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</row>
    <row r="26" spans="1:92" s="73" customFormat="1" ht="20.25" customHeight="1" x14ac:dyDescent="0.2">
      <c r="A26" s="79" t="str">
        <f>+'4. CC D'!A9</f>
        <v>1.</v>
      </c>
      <c r="B26" s="80" t="str">
        <f>+'Cuadro de Costos'!B8</f>
        <v>Componente Unico Obras civiles</v>
      </c>
      <c r="C26" s="81"/>
      <c r="D26" s="82"/>
      <c r="E26" s="82"/>
      <c r="F26" s="82"/>
      <c r="G26" s="83">
        <f>+'4. CC D'!I9</f>
        <v>85000000</v>
      </c>
      <c r="H26" s="83">
        <f>'[2]4. CC D'!G9</f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</row>
    <row r="27" spans="1:92" s="73" customFormat="1" x14ac:dyDescent="0.2">
      <c r="A27" s="158" t="s">
        <v>109</v>
      </c>
      <c r="B27" s="84" t="str">
        <f>+'4. CC D'!B10</f>
        <v>Producto 1: 117.5 km de carreteras mejoradas y rehabilitadas</v>
      </c>
      <c r="C27" s="85"/>
      <c r="D27" s="86"/>
      <c r="E27" s="86"/>
      <c r="F27" s="86"/>
      <c r="G27" s="87">
        <f>+'4. CC D'!I10</f>
        <v>72050000</v>
      </c>
      <c r="H27" s="87" t="str">
        <f>'[2]4. CC D'!G10</f>
        <v>ECATEF/DCV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</row>
    <row r="28" spans="1:92" s="73" customFormat="1" ht="25.5" x14ac:dyDescent="0.2">
      <c r="A28" s="88" t="str">
        <f>+'4. CC D'!A11</f>
        <v>1.1.1</v>
      </c>
      <c r="B28" s="89" t="str">
        <f>+'4. CC D'!B11</f>
        <v>Contratación de Firma Constructora para el mejoramiento del tramo Ñumi-San Juan Nepomuceno (65,5 Km)</v>
      </c>
      <c r="C28" s="90" t="str">
        <f>+'4. CC D'!H11</f>
        <v>24 meses</v>
      </c>
      <c r="D28" s="90" t="s">
        <v>58</v>
      </c>
      <c r="E28" s="90" t="s">
        <v>59</v>
      </c>
      <c r="F28" s="90" t="s">
        <v>65</v>
      </c>
      <c r="G28" s="91">
        <f>+'4. CC D'!I11</f>
        <v>37550000</v>
      </c>
      <c r="H28" s="91"/>
      <c r="I28" s="91"/>
      <c r="J28" s="91"/>
      <c r="K28" s="92"/>
      <c r="L28" s="92"/>
      <c r="M28" s="93"/>
      <c r="N28" s="93"/>
      <c r="O28" s="93"/>
      <c r="P28" s="93"/>
      <c r="Q28" s="93"/>
      <c r="R28" s="93"/>
      <c r="S28" s="93"/>
      <c r="T28" s="94">
        <v>1</v>
      </c>
      <c r="U28" s="94">
        <v>2</v>
      </c>
      <c r="V28" s="94">
        <v>3</v>
      </c>
      <c r="W28" s="94">
        <v>4</v>
      </c>
      <c r="X28" s="94">
        <v>5</v>
      </c>
      <c r="Y28" s="94">
        <v>6</v>
      </c>
      <c r="Z28" s="94">
        <v>7</v>
      </c>
      <c r="AA28" s="94">
        <v>8</v>
      </c>
      <c r="AB28" s="94">
        <v>9</v>
      </c>
      <c r="AC28" s="94">
        <v>10</v>
      </c>
      <c r="AD28" s="94">
        <v>11</v>
      </c>
      <c r="AE28" s="94">
        <v>12</v>
      </c>
      <c r="AF28" s="94">
        <v>13</v>
      </c>
      <c r="AG28" s="94">
        <v>14</v>
      </c>
      <c r="AH28" s="94">
        <v>15</v>
      </c>
      <c r="AI28" s="94">
        <v>16</v>
      </c>
      <c r="AJ28" s="94">
        <v>17</v>
      </c>
      <c r="AK28" s="94">
        <v>18</v>
      </c>
      <c r="AL28" s="94">
        <v>19</v>
      </c>
      <c r="AM28" s="94">
        <v>20</v>
      </c>
      <c r="AN28" s="94">
        <v>21</v>
      </c>
      <c r="AO28" s="94">
        <v>22</v>
      </c>
      <c r="AP28" s="94">
        <v>23</v>
      </c>
      <c r="AQ28" s="94">
        <v>24</v>
      </c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</row>
    <row r="29" spans="1:92" s="73" customFormat="1" ht="25.5" x14ac:dyDescent="0.2">
      <c r="A29" s="88" t="str">
        <f>+'4. CC D'!A12</f>
        <v>1.1.2</v>
      </c>
      <c r="B29" s="89" t="str">
        <f>+'4. CC D'!B12</f>
        <v>Contratación de Firma Constructora para el mejoramiento y rehabilitación  del tramo Empalme R6 - Empalme corredor de Exportación (52 Km)</v>
      </c>
      <c r="C29" s="90" t="str">
        <f>+'4. CC D'!H12</f>
        <v>24 meses</v>
      </c>
      <c r="D29" s="90" t="s">
        <v>113</v>
      </c>
      <c r="E29" s="90" t="s">
        <v>66</v>
      </c>
      <c r="F29" s="90" t="s">
        <v>63</v>
      </c>
      <c r="G29" s="91">
        <f>+'4. CC D'!I12</f>
        <v>30500000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2"/>
      <c r="AL29" s="93"/>
      <c r="AM29" s="93"/>
      <c r="AN29" s="93"/>
      <c r="AO29" s="93"/>
      <c r="AP29" s="93"/>
      <c r="AQ29" s="93"/>
      <c r="AR29" s="93"/>
      <c r="AS29" s="94">
        <v>1</v>
      </c>
      <c r="AT29" s="94">
        <v>2</v>
      </c>
      <c r="AU29" s="94">
        <v>3</v>
      </c>
      <c r="AV29" s="94">
        <v>4</v>
      </c>
      <c r="AW29" s="94">
        <v>5</v>
      </c>
      <c r="AX29" s="94">
        <v>6</v>
      </c>
      <c r="AY29" s="94">
        <v>7</v>
      </c>
      <c r="AZ29" s="94">
        <v>8</v>
      </c>
      <c r="BA29" s="94">
        <v>9</v>
      </c>
      <c r="BB29" s="94">
        <v>10</v>
      </c>
      <c r="BC29" s="94">
        <v>11</v>
      </c>
      <c r="BD29" s="94">
        <v>12</v>
      </c>
      <c r="BE29" s="94">
        <v>13</v>
      </c>
      <c r="BF29" s="94">
        <v>14</v>
      </c>
      <c r="BG29" s="94">
        <v>15</v>
      </c>
      <c r="BH29" s="94">
        <v>16</v>
      </c>
      <c r="BI29" s="94">
        <v>17</v>
      </c>
      <c r="BJ29" s="94">
        <v>18</v>
      </c>
      <c r="BK29" s="94">
        <v>19</v>
      </c>
      <c r="BL29" s="94">
        <v>20</v>
      </c>
      <c r="BM29" s="94">
        <v>21</v>
      </c>
      <c r="BN29" s="94">
        <v>22</v>
      </c>
      <c r="BO29" s="94">
        <v>23</v>
      </c>
      <c r="BP29" s="94">
        <v>24</v>
      </c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</row>
    <row r="30" spans="1:92" s="73" customFormat="1" ht="25.5" x14ac:dyDescent="0.2">
      <c r="A30" s="88" t="str">
        <f>+'4. CC D'!A13</f>
        <v>1.1.3</v>
      </c>
      <c r="B30" s="95" t="str">
        <f>+'4. CC D'!B13</f>
        <v>Contratación de Firma Consultora para Fiscalización del Mejoramiento del tramo Ñumi-San Juan Nepomuceno (65.5 Km)</v>
      </c>
      <c r="C30" s="90" t="str">
        <f>+'4. CC D'!H13</f>
        <v>27 meses</v>
      </c>
      <c r="D30" s="96" t="s">
        <v>62</v>
      </c>
      <c r="E30" s="96" t="s">
        <v>61</v>
      </c>
      <c r="F30" s="96" t="s">
        <v>60</v>
      </c>
      <c r="G30" s="91">
        <f>+'4. CC D'!I13</f>
        <v>2200000</v>
      </c>
      <c r="H30" s="91"/>
      <c r="I30" s="92"/>
      <c r="J30" s="92"/>
      <c r="K30" s="92"/>
      <c r="L30" s="93"/>
      <c r="M30" s="93"/>
      <c r="N30" s="93"/>
      <c r="O30" s="93"/>
      <c r="P30" s="93"/>
      <c r="Q30" s="93"/>
      <c r="R30" s="94">
        <v>1</v>
      </c>
      <c r="S30" s="94">
        <v>2</v>
      </c>
      <c r="T30" s="94">
        <v>3</v>
      </c>
      <c r="U30" s="94">
        <v>4</v>
      </c>
      <c r="V30" s="94">
        <v>5</v>
      </c>
      <c r="W30" s="94">
        <v>6</v>
      </c>
      <c r="X30" s="94">
        <v>7</v>
      </c>
      <c r="Y30" s="94">
        <v>8</v>
      </c>
      <c r="Z30" s="94">
        <v>9</v>
      </c>
      <c r="AA30" s="94">
        <v>10</v>
      </c>
      <c r="AB30" s="94">
        <v>11</v>
      </c>
      <c r="AC30" s="94">
        <v>12</v>
      </c>
      <c r="AD30" s="94">
        <v>13</v>
      </c>
      <c r="AE30" s="94">
        <v>14</v>
      </c>
      <c r="AF30" s="94">
        <v>15</v>
      </c>
      <c r="AG30" s="94">
        <v>16</v>
      </c>
      <c r="AH30" s="94">
        <v>17</v>
      </c>
      <c r="AI30" s="94">
        <v>18</v>
      </c>
      <c r="AJ30" s="94">
        <v>19</v>
      </c>
      <c r="AK30" s="94">
        <v>20</v>
      </c>
      <c r="AL30" s="94">
        <v>21</v>
      </c>
      <c r="AM30" s="94">
        <v>22</v>
      </c>
      <c r="AN30" s="94">
        <v>23</v>
      </c>
      <c r="AO30" s="94">
        <v>24</v>
      </c>
      <c r="AP30" s="94">
        <v>25</v>
      </c>
      <c r="AQ30" s="94">
        <v>26</v>
      </c>
      <c r="AR30" s="94">
        <v>27</v>
      </c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</row>
    <row r="31" spans="1:92" s="73" customFormat="1" ht="25.5" x14ac:dyDescent="0.2">
      <c r="A31" s="88" t="str">
        <f>+'4. CC D'!A14</f>
        <v>1.1.4</v>
      </c>
      <c r="B31" s="95" t="str">
        <f>+'4. CC D'!B14</f>
        <v>Contratación de Firma Consultora para Fiscalización de obra de mejoramiento y rehabilitación del tramo Empalme R6 - Empalme Corredor de Exportación (52 Km)</v>
      </c>
      <c r="C31" s="90" t="str">
        <f>+'4. CC D'!H14</f>
        <v>27 meses</v>
      </c>
      <c r="D31" s="96" t="s">
        <v>369</v>
      </c>
      <c r="E31" s="96" t="s">
        <v>65</v>
      </c>
      <c r="F31" s="96" t="s">
        <v>114</v>
      </c>
      <c r="G31" s="91">
        <f>+'4. CC D'!I14</f>
        <v>1800000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2"/>
      <c r="AH31" s="92"/>
      <c r="AI31" s="92"/>
      <c r="AJ31" s="93"/>
      <c r="AK31" s="93"/>
      <c r="AL31" s="93"/>
      <c r="AM31" s="93"/>
      <c r="AN31" s="93"/>
      <c r="AO31" s="93"/>
      <c r="AP31" s="93"/>
      <c r="AQ31" s="94">
        <v>1</v>
      </c>
      <c r="AR31" s="94">
        <v>2</v>
      </c>
      <c r="AS31" s="94">
        <v>3</v>
      </c>
      <c r="AT31" s="94">
        <v>4</v>
      </c>
      <c r="AU31" s="94">
        <v>5</v>
      </c>
      <c r="AV31" s="94">
        <v>6</v>
      </c>
      <c r="AW31" s="94">
        <v>7</v>
      </c>
      <c r="AX31" s="94">
        <v>8</v>
      </c>
      <c r="AY31" s="94">
        <v>9</v>
      </c>
      <c r="AZ31" s="94">
        <v>10</v>
      </c>
      <c r="BA31" s="94">
        <v>11</v>
      </c>
      <c r="BB31" s="94">
        <v>12</v>
      </c>
      <c r="BC31" s="94">
        <v>13</v>
      </c>
      <c r="BD31" s="94">
        <v>14</v>
      </c>
      <c r="BE31" s="94">
        <v>15</v>
      </c>
      <c r="BF31" s="94">
        <v>16</v>
      </c>
      <c r="BG31" s="94">
        <v>17</v>
      </c>
      <c r="BH31" s="94">
        <v>18</v>
      </c>
      <c r="BI31" s="94">
        <v>19</v>
      </c>
      <c r="BJ31" s="94">
        <v>20</v>
      </c>
      <c r="BK31" s="94">
        <v>21</v>
      </c>
      <c r="BL31" s="94">
        <v>22</v>
      </c>
      <c r="BM31" s="94">
        <v>23</v>
      </c>
      <c r="BN31" s="94">
        <v>24</v>
      </c>
      <c r="BO31" s="94">
        <v>25</v>
      </c>
      <c r="BP31" s="94">
        <v>26</v>
      </c>
      <c r="BQ31" s="94">
        <v>27</v>
      </c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</row>
    <row r="32" spans="1:92" s="73" customFormat="1" ht="27.75" customHeight="1" x14ac:dyDescent="0.2">
      <c r="A32" s="158" t="s">
        <v>110</v>
      </c>
      <c r="B32" s="84" t="str">
        <f>+'4. CC D'!B15</f>
        <v>Producto 2: 267 km de carretera conservados</v>
      </c>
      <c r="C32" s="98"/>
      <c r="D32" s="99"/>
      <c r="E32" s="99"/>
      <c r="F32" s="99"/>
      <c r="G32" s="100">
        <f>+'4. CC D'!I15</f>
        <v>12950000</v>
      </c>
      <c r="H32" s="100" t="str">
        <f>'[2]4. CC D'!G16</f>
        <v>ECATEF/DCV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</row>
    <row r="33" spans="1:92" s="73" customFormat="1" ht="25.5" x14ac:dyDescent="0.2">
      <c r="A33" s="88" t="str">
        <f>+'4. CC D'!A16</f>
        <v>1.2.1</v>
      </c>
      <c r="B33" s="95" t="str">
        <f>+'4. CC D'!B16</f>
        <v>Contratación de Firma Constructora para Obra de Conservación del Tramo Ñumi - Empalme R6  (147 km). Crema 1.1.1</v>
      </c>
      <c r="C33" s="96" t="str">
        <f>+'4. CC D'!H16</f>
        <v>48 meses</v>
      </c>
      <c r="D33" s="437">
        <v>0</v>
      </c>
      <c r="E33" s="96" t="s">
        <v>66</v>
      </c>
      <c r="F33" s="96" t="s">
        <v>117</v>
      </c>
      <c r="G33" s="91">
        <f>+'4. CC D'!I16</f>
        <v>6000000</v>
      </c>
      <c r="H33" s="9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94">
        <v>1</v>
      </c>
      <c r="AT33" s="94">
        <v>2</v>
      </c>
      <c r="AU33" s="94">
        <v>3</v>
      </c>
      <c r="AV33" s="94">
        <v>4</v>
      </c>
      <c r="AW33" s="94">
        <v>5</v>
      </c>
      <c r="AX33" s="94">
        <v>6</v>
      </c>
      <c r="AY33" s="94">
        <v>7</v>
      </c>
      <c r="AZ33" s="94">
        <v>8</v>
      </c>
      <c r="BA33" s="94">
        <v>9</v>
      </c>
      <c r="BB33" s="94">
        <v>10</v>
      </c>
      <c r="BC33" s="94">
        <v>11</v>
      </c>
      <c r="BD33" s="94">
        <v>12</v>
      </c>
      <c r="BE33" s="94">
        <v>13</v>
      </c>
      <c r="BF33" s="94">
        <v>14</v>
      </c>
      <c r="BG33" s="94">
        <v>15</v>
      </c>
      <c r="BH33" s="94">
        <v>16</v>
      </c>
      <c r="BI33" s="94">
        <v>17</v>
      </c>
      <c r="BJ33" s="94">
        <v>18</v>
      </c>
      <c r="BK33" s="94">
        <v>19</v>
      </c>
      <c r="BL33" s="94">
        <v>20</v>
      </c>
      <c r="BM33" s="94">
        <v>21</v>
      </c>
      <c r="BN33" s="94">
        <v>22</v>
      </c>
      <c r="BO33" s="94">
        <v>23</v>
      </c>
      <c r="BP33" s="94">
        <v>24</v>
      </c>
      <c r="BQ33" s="94">
        <v>25</v>
      </c>
      <c r="BR33" s="94">
        <v>26</v>
      </c>
      <c r="BS33" s="94">
        <v>27</v>
      </c>
      <c r="BT33" s="94">
        <v>28</v>
      </c>
      <c r="BU33" s="94">
        <v>29</v>
      </c>
      <c r="BV33" s="94">
        <v>30</v>
      </c>
      <c r="BW33" s="94">
        <v>31</v>
      </c>
      <c r="BX33" s="94">
        <v>32</v>
      </c>
      <c r="BY33" s="94">
        <v>33</v>
      </c>
      <c r="BZ33" s="94">
        <v>34</v>
      </c>
      <c r="CA33" s="94">
        <v>35</v>
      </c>
      <c r="CB33" s="94">
        <v>36</v>
      </c>
      <c r="CC33" s="94">
        <v>37</v>
      </c>
      <c r="CD33" s="94">
        <v>38</v>
      </c>
      <c r="CE33" s="94">
        <v>39</v>
      </c>
      <c r="CF33" s="94">
        <v>40</v>
      </c>
      <c r="CG33" s="94">
        <v>41</v>
      </c>
      <c r="CH33" s="94">
        <v>42</v>
      </c>
      <c r="CI33" s="94">
        <v>43</v>
      </c>
      <c r="CJ33" s="94">
        <v>44</v>
      </c>
      <c r="CK33" s="94">
        <v>45</v>
      </c>
      <c r="CL33" s="94">
        <v>46</v>
      </c>
      <c r="CM33" s="94">
        <v>47</v>
      </c>
      <c r="CN33" s="94">
        <v>48</v>
      </c>
    </row>
    <row r="34" spans="1:92" s="73" customFormat="1" ht="27" customHeight="1" x14ac:dyDescent="0.2">
      <c r="A34" s="88" t="str">
        <f>+'4. CC D'!A17</f>
        <v>1.2.2</v>
      </c>
      <c r="B34" s="95" t="str">
        <f>+'4. CC D'!B17</f>
        <v>Contratación de Firma Constructora para Obra de Conservación Ruta 13: Caaguazu- Empalme Ruta 10 (120 km)</v>
      </c>
      <c r="C34" s="96" t="str">
        <f>+'4. CC D'!H17</f>
        <v>72 meses</v>
      </c>
      <c r="D34" s="96" t="s">
        <v>58</v>
      </c>
      <c r="E34" s="96" t="s">
        <v>64</v>
      </c>
      <c r="F34" s="96" t="s">
        <v>117</v>
      </c>
      <c r="G34" s="91">
        <f>+'4. CC D'!I17</f>
        <v>6250000</v>
      </c>
      <c r="H34" s="91"/>
      <c r="I34" s="101"/>
      <c r="J34" s="101"/>
      <c r="K34" s="101"/>
      <c r="L34" s="101"/>
      <c r="M34" s="92"/>
      <c r="N34" s="93"/>
      <c r="O34" s="93"/>
      <c r="P34" s="93"/>
      <c r="Q34" s="93"/>
      <c r="R34" s="93"/>
      <c r="S34" s="93"/>
      <c r="T34" s="93"/>
      <c r="U34" s="94">
        <v>1</v>
      </c>
      <c r="V34" s="94">
        <v>2</v>
      </c>
      <c r="W34" s="94">
        <v>3</v>
      </c>
      <c r="X34" s="94">
        <v>4</v>
      </c>
      <c r="Y34" s="94">
        <v>5</v>
      </c>
      <c r="Z34" s="94">
        <v>6</v>
      </c>
      <c r="AA34" s="94">
        <v>7</v>
      </c>
      <c r="AB34" s="94">
        <v>8</v>
      </c>
      <c r="AC34" s="94">
        <v>9</v>
      </c>
      <c r="AD34" s="94">
        <v>10</v>
      </c>
      <c r="AE34" s="94">
        <v>11</v>
      </c>
      <c r="AF34" s="94">
        <v>12</v>
      </c>
      <c r="AG34" s="94">
        <v>13</v>
      </c>
      <c r="AH34" s="94">
        <v>14</v>
      </c>
      <c r="AI34" s="94">
        <v>15</v>
      </c>
      <c r="AJ34" s="94">
        <v>16</v>
      </c>
      <c r="AK34" s="94">
        <v>17</v>
      </c>
      <c r="AL34" s="94">
        <v>18</v>
      </c>
      <c r="AM34" s="94">
        <v>19</v>
      </c>
      <c r="AN34" s="94">
        <v>20</v>
      </c>
      <c r="AO34" s="94">
        <v>21</v>
      </c>
      <c r="AP34" s="94">
        <v>22</v>
      </c>
      <c r="AQ34" s="94">
        <v>23</v>
      </c>
      <c r="AR34" s="94">
        <v>24</v>
      </c>
      <c r="AS34" s="94">
        <v>25</v>
      </c>
      <c r="AT34" s="94">
        <v>26</v>
      </c>
      <c r="AU34" s="94">
        <v>27</v>
      </c>
      <c r="AV34" s="94">
        <v>28</v>
      </c>
      <c r="AW34" s="94">
        <v>29</v>
      </c>
      <c r="AX34" s="94">
        <v>30</v>
      </c>
      <c r="AY34" s="94">
        <v>31</v>
      </c>
      <c r="AZ34" s="94">
        <v>32</v>
      </c>
      <c r="BA34" s="94">
        <v>33</v>
      </c>
      <c r="BB34" s="94">
        <v>34</v>
      </c>
      <c r="BC34" s="94">
        <v>35</v>
      </c>
      <c r="BD34" s="94">
        <v>36</v>
      </c>
      <c r="BE34" s="94">
        <v>37</v>
      </c>
      <c r="BF34" s="94">
        <v>38</v>
      </c>
      <c r="BG34" s="94">
        <v>39</v>
      </c>
      <c r="BH34" s="94">
        <v>40</v>
      </c>
      <c r="BI34" s="94">
        <v>41</v>
      </c>
      <c r="BJ34" s="94">
        <v>42</v>
      </c>
      <c r="BK34" s="94">
        <v>43</v>
      </c>
      <c r="BL34" s="94">
        <v>44</v>
      </c>
      <c r="BM34" s="94">
        <v>45</v>
      </c>
      <c r="BN34" s="94">
        <v>46</v>
      </c>
      <c r="BO34" s="94">
        <v>47</v>
      </c>
      <c r="BP34" s="94">
        <v>48</v>
      </c>
      <c r="BQ34" s="94">
        <v>49</v>
      </c>
      <c r="BR34" s="94">
        <v>50</v>
      </c>
      <c r="BS34" s="94">
        <v>51</v>
      </c>
      <c r="BT34" s="94">
        <v>52</v>
      </c>
      <c r="BU34" s="94">
        <v>53</v>
      </c>
      <c r="BV34" s="94">
        <v>54</v>
      </c>
      <c r="BW34" s="94">
        <v>55</v>
      </c>
      <c r="BX34" s="94">
        <v>56</v>
      </c>
      <c r="BY34" s="94">
        <v>57</v>
      </c>
      <c r="BZ34" s="94">
        <v>58</v>
      </c>
      <c r="CA34" s="94">
        <v>59</v>
      </c>
      <c r="CB34" s="94">
        <v>60</v>
      </c>
      <c r="CC34" s="94">
        <v>61</v>
      </c>
      <c r="CD34" s="94">
        <v>62</v>
      </c>
      <c r="CE34" s="94">
        <v>63</v>
      </c>
      <c r="CF34" s="94">
        <v>64</v>
      </c>
      <c r="CG34" s="94">
        <v>65</v>
      </c>
      <c r="CH34" s="94">
        <v>66</v>
      </c>
      <c r="CI34" s="94">
        <v>67</v>
      </c>
      <c r="CJ34" s="94">
        <v>68</v>
      </c>
      <c r="CK34" s="94">
        <v>69</v>
      </c>
      <c r="CL34" s="94">
        <v>70</v>
      </c>
      <c r="CM34" s="94">
        <v>71</v>
      </c>
      <c r="CN34" s="94">
        <v>72</v>
      </c>
    </row>
    <row r="35" spans="1:92" s="73" customFormat="1" ht="25.5" x14ac:dyDescent="0.2">
      <c r="A35" s="88" t="str">
        <f>+'4. CC D'!A18</f>
        <v>1.2.3</v>
      </c>
      <c r="B35" s="95" t="str">
        <f>+'4. CC D'!B18</f>
        <v>Contratación de Firma Consultora para Fiscalización de Obra de Conservación del Tramo Ñumi- Empalme R6 (147 km)</v>
      </c>
      <c r="C35" s="96" t="str">
        <f>+'4. CC D'!H18</f>
        <v>47 meses</v>
      </c>
      <c r="D35" s="437">
        <v>0</v>
      </c>
      <c r="E35" s="96" t="s">
        <v>66</v>
      </c>
      <c r="F35" s="96" t="s">
        <v>117</v>
      </c>
      <c r="G35" s="91">
        <f>+'4. CC D'!I18</f>
        <v>300000</v>
      </c>
      <c r="H35" s="9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T35" s="94">
        <v>1</v>
      </c>
      <c r="AU35" s="94">
        <v>2</v>
      </c>
      <c r="AV35" s="94">
        <v>3</v>
      </c>
      <c r="AW35" s="94">
        <v>4</v>
      </c>
      <c r="AX35" s="94">
        <v>5</v>
      </c>
      <c r="AY35" s="94">
        <v>6</v>
      </c>
      <c r="AZ35" s="94">
        <v>7</v>
      </c>
      <c r="BA35" s="94">
        <v>8</v>
      </c>
      <c r="BB35" s="94">
        <v>9</v>
      </c>
      <c r="BC35" s="94">
        <v>10</v>
      </c>
      <c r="BD35" s="94">
        <v>11</v>
      </c>
      <c r="BE35" s="94">
        <v>12</v>
      </c>
      <c r="BF35" s="94">
        <v>13</v>
      </c>
      <c r="BG35" s="94">
        <v>14</v>
      </c>
      <c r="BH35" s="94">
        <v>15</v>
      </c>
      <c r="BI35" s="94">
        <v>16</v>
      </c>
      <c r="BJ35" s="94">
        <v>17</v>
      </c>
      <c r="BK35" s="94">
        <v>18</v>
      </c>
      <c r="BL35" s="94">
        <v>19</v>
      </c>
      <c r="BM35" s="94">
        <v>20</v>
      </c>
      <c r="BN35" s="94">
        <v>21</v>
      </c>
      <c r="BO35" s="94">
        <v>22</v>
      </c>
      <c r="BP35" s="94">
        <v>23</v>
      </c>
      <c r="BQ35" s="94">
        <v>24</v>
      </c>
      <c r="BR35" s="94">
        <v>25</v>
      </c>
      <c r="BS35" s="94">
        <v>26</v>
      </c>
      <c r="BT35" s="94">
        <v>27</v>
      </c>
      <c r="BU35" s="94">
        <v>28</v>
      </c>
      <c r="BV35" s="94">
        <v>29</v>
      </c>
      <c r="BW35" s="94">
        <v>30</v>
      </c>
      <c r="BX35" s="94">
        <v>31</v>
      </c>
      <c r="BY35" s="94">
        <v>32</v>
      </c>
      <c r="BZ35" s="94">
        <v>33</v>
      </c>
      <c r="CA35" s="94">
        <v>34</v>
      </c>
      <c r="CB35" s="94">
        <v>35</v>
      </c>
      <c r="CC35" s="94">
        <v>36</v>
      </c>
      <c r="CD35" s="94">
        <v>37</v>
      </c>
      <c r="CE35" s="94">
        <v>38</v>
      </c>
      <c r="CF35" s="94">
        <v>39</v>
      </c>
      <c r="CG35" s="94">
        <v>40</v>
      </c>
      <c r="CH35" s="94">
        <v>41</v>
      </c>
      <c r="CI35" s="94">
        <v>42</v>
      </c>
      <c r="CJ35" s="94">
        <v>43</v>
      </c>
      <c r="CK35" s="94">
        <v>44</v>
      </c>
      <c r="CL35" s="94">
        <v>45</v>
      </c>
      <c r="CM35" s="94">
        <v>46</v>
      </c>
      <c r="CN35" s="94">
        <v>47</v>
      </c>
    </row>
    <row r="36" spans="1:92" s="73" customFormat="1" ht="25.5" x14ac:dyDescent="0.2">
      <c r="A36" s="88" t="str">
        <f>+'4. CC D'!A19</f>
        <v>1.2.4</v>
      </c>
      <c r="B36" s="95" t="str">
        <f>+'4. CC D'!B19</f>
        <v>Contratación de Firma Consultora para Fiscalización de Obra de Conservación Ruta 13: Caaguazu - Empalme Ruta 10 (120 km)</v>
      </c>
      <c r="C36" s="96" t="str">
        <f>+'4. CC D'!H19</f>
        <v>72 meses</v>
      </c>
      <c r="D36" s="96" t="s">
        <v>58</v>
      </c>
      <c r="E36" s="96" t="s">
        <v>64</v>
      </c>
      <c r="F36" s="96" t="s">
        <v>117</v>
      </c>
      <c r="G36" s="91">
        <f>+'4. CC D'!I19</f>
        <v>400000</v>
      </c>
      <c r="H36" s="91"/>
      <c r="I36" s="101"/>
      <c r="J36" s="101"/>
      <c r="K36" s="101"/>
      <c r="L36" s="101"/>
      <c r="M36" s="92"/>
      <c r="N36" s="93"/>
      <c r="O36" s="93"/>
      <c r="P36" s="93"/>
      <c r="Q36" s="93"/>
      <c r="R36" s="93"/>
      <c r="S36" s="93"/>
      <c r="T36" s="93"/>
      <c r="U36" s="94">
        <v>1</v>
      </c>
      <c r="V36" s="94">
        <v>2</v>
      </c>
      <c r="W36" s="94">
        <v>3</v>
      </c>
      <c r="X36" s="94">
        <v>4</v>
      </c>
      <c r="Y36" s="94">
        <v>5</v>
      </c>
      <c r="Z36" s="94">
        <v>6</v>
      </c>
      <c r="AA36" s="94">
        <v>7</v>
      </c>
      <c r="AB36" s="94">
        <v>8</v>
      </c>
      <c r="AC36" s="94">
        <v>9</v>
      </c>
      <c r="AD36" s="94">
        <v>10</v>
      </c>
      <c r="AE36" s="94">
        <v>11</v>
      </c>
      <c r="AF36" s="94">
        <v>12</v>
      </c>
      <c r="AG36" s="94">
        <v>13</v>
      </c>
      <c r="AH36" s="94">
        <v>14</v>
      </c>
      <c r="AI36" s="94">
        <v>15</v>
      </c>
      <c r="AJ36" s="94">
        <v>16</v>
      </c>
      <c r="AK36" s="94">
        <v>17</v>
      </c>
      <c r="AL36" s="94">
        <v>18</v>
      </c>
      <c r="AM36" s="94">
        <v>19</v>
      </c>
      <c r="AN36" s="94">
        <v>20</v>
      </c>
      <c r="AO36" s="94">
        <v>21</v>
      </c>
      <c r="AP36" s="94">
        <v>22</v>
      </c>
      <c r="AQ36" s="94">
        <v>23</v>
      </c>
      <c r="AR36" s="94">
        <v>24</v>
      </c>
      <c r="AS36" s="94">
        <v>25</v>
      </c>
      <c r="AT36" s="94">
        <v>26</v>
      </c>
      <c r="AU36" s="94">
        <v>27</v>
      </c>
      <c r="AV36" s="94">
        <v>28</v>
      </c>
      <c r="AW36" s="94">
        <v>29</v>
      </c>
      <c r="AX36" s="94">
        <v>30</v>
      </c>
      <c r="AY36" s="94">
        <v>31</v>
      </c>
      <c r="AZ36" s="94">
        <v>32</v>
      </c>
      <c r="BA36" s="94">
        <v>33</v>
      </c>
      <c r="BB36" s="94">
        <v>34</v>
      </c>
      <c r="BC36" s="94">
        <v>35</v>
      </c>
      <c r="BD36" s="94">
        <v>36</v>
      </c>
      <c r="BE36" s="94">
        <v>37</v>
      </c>
      <c r="BF36" s="94">
        <v>38</v>
      </c>
      <c r="BG36" s="94">
        <v>39</v>
      </c>
      <c r="BH36" s="94">
        <v>40</v>
      </c>
      <c r="BI36" s="94">
        <v>41</v>
      </c>
      <c r="BJ36" s="94">
        <v>42</v>
      </c>
      <c r="BK36" s="94">
        <v>43</v>
      </c>
      <c r="BL36" s="94">
        <v>44</v>
      </c>
      <c r="BM36" s="94">
        <v>45</v>
      </c>
      <c r="BN36" s="94">
        <v>46</v>
      </c>
      <c r="BO36" s="94">
        <v>47</v>
      </c>
      <c r="BP36" s="94">
        <v>48</v>
      </c>
      <c r="BQ36" s="94">
        <v>49</v>
      </c>
      <c r="BR36" s="94">
        <v>50</v>
      </c>
      <c r="BS36" s="94">
        <v>51</v>
      </c>
      <c r="BT36" s="94">
        <v>52</v>
      </c>
      <c r="BU36" s="94">
        <v>53</v>
      </c>
      <c r="BV36" s="94">
        <v>54</v>
      </c>
      <c r="BW36" s="94">
        <v>55</v>
      </c>
      <c r="BX36" s="94">
        <v>56</v>
      </c>
      <c r="BY36" s="94">
        <v>57</v>
      </c>
      <c r="BZ36" s="94">
        <v>58</v>
      </c>
      <c r="CA36" s="94">
        <v>59</v>
      </c>
      <c r="CB36" s="94">
        <v>60</v>
      </c>
      <c r="CC36" s="94">
        <v>61</v>
      </c>
      <c r="CD36" s="94">
        <v>62</v>
      </c>
      <c r="CE36" s="94">
        <v>63</v>
      </c>
      <c r="CF36" s="94">
        <v>64</v>
      </c>
      <c r="CG36" s="94">
        <v>65</v>
      </c>
      <c r="CH36" s="94">
        <v>66</v>
      </c>
      <c r="CI36" s="94">
        <v>67</v>
      </c>
      <c r="CJ36" s="94">
        <v>68</v>
      </c>
      <c r="CK36" s="94">
        <v>69</v>
      </c>
      <c r="CL36" s="94">
        <v>70</v>
      </c>
      <c r="CM36" s="94">
        <v>71</v>
      </c>
      <c r="CN36" s="94">
        <v>72</v>
      </c>
    </row>
    <row r="37" spans="1:92" s="73" customFormat="1" ht="17.25" customHeight="1" x14ac:dyDescent="0.2">
      <c r="A37" s="102">
        <f>+'4. CC D'!A20</f>
        <v>2</v>
      </c>
      <c r="B37" s="80" t="str">
        <f>+'4. CC D'!B20</f>
        <v>Otros Costos</v>
      </c>
      <c r="C37" s="81"/>
      <c r="D37" s="82"/>
      <c r="E37" s="82"/>
      <c r="F37" s="82"/>
      <c r="G37" s="83">
        <f>+'4. CC D'!I20</f>
        <v>5000000</v>
      </c>
      <c r="H37" s="83">
        <f>'[2]4. CC D'!G32</f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</row>
    <row r="38" spans="1:92" x14ac:dyDescent="0.2">
      <c r="A38" s="97">
        <f>+'4. CC D'!A21</f>
        <v>2.1</v>
      </c>
      <c r="B38" s="84" t="str">
        <f>+'4. CC D'!B21</f>
        <v>Administración del Programa</v>
      </c>
      <c r="C38" s="98"/>
      <c r="D38" s="98"/>
      <c r="E38" s="98"/>
      <c r="F38" s="98"/>
      <c r="G38" s="100">
        <f>+'4. CC D'!I21</f>
        <v>3300000</v>
      </c>
      <c r="H38" s="100" t="str">
        <f>'[2]4. CC D'!G33</f>
        <v>ECATEF/DCV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</row>
    <row r="39" spans="1:92" ht="21.75" customHeight="1" x14ac:dyDescent="0.2">
      <c r="A39" s="103" t="str">
        <f>+'4. CC D'!A22</f>
        <v>2.1.1</v>
      </c>
      <c r="B39" s="104" t="str">
        <f>+'4. CC D'!B22</f>
        <v xml:space="preserve">Contratación de la ECATEF para apoyo en la ejecución del Programa </v>
      </c>
      <c r="C39" s="105" t="str">
        <f>+'4. CC D'!H22</f>
        <v>84 meses</v>
      </c>
      <c r="D39" s="438"/>
      <c r="E39" s="105" t="s">
        <v>62</v>
      </c>
      <c r="F39" s="105" t="s">
        <v>117</v>
      </c>
      <c r="G39" s="106">
        <f>+'4. CC D'!I22</f>
        <v>3300000</v>
      </c>
      <c r="H39" s="106"/>
      <c r="I39" s="107">
        <v>1</v>
      </c>
      <c r="J39" s="107">
        <v>2</v>
      </c>
      <c r="K39" s="107">
        <v>3</v>
      </c>
      <c r="L39" s="107">
        <v>4</v>
      </c>
      <c r="M39" s="107">
        <v>5</v>
      </c>
      <c r="N39" s="107">
        <v>6</v>
      </c>
      <c r="O39" s="107">
        <v>7</v>
      </c>
      <c r="P39" s="107">
        <v>8</v>
      </c>
      <c r="Q39" s="107">
        <v>9</v>
      </c>
      <c r="R39" s="107">
        <v>10</v>
      </c>
      <c r="S39" s="107">
        <v>11</v>
      </c>
      <c r="T39" s="107">
        <v>12</v>
      </c>
      <c r="U39" s="107">
        <v>13</v>
      </c>
      <c r="V39" s="107">
        <v>14</v>
      </c>
      <c r="W39" s="107">
        <v>15</v>
      </c>
      <c r="X39" s="107">
        <v>16</v>
      </c>
      <c r="Y39" s="107">
        <v>17</v>
      </c>
      <c r="Z39" s="107">
        <v>18</v>
      </c>
      <c r="AA39" s="107">
        <v>19</v>
      </c>
      <c r="AB39" s="107">
        <v>20</v>
      </c>
      <c r="AC39" s="107">
        <v>21</v>
      </c>
      <c r="AD39" s="107">
        <v>22</v>
      </c>
      <c r="AE39" s="107">
        <v>23</v>
      </c>
      <c r="AF39" s="107">
        <v>24</v>
      </c>
      <c r="AG39" s="107">
        <v>25</v>
      </c>
      <c r="AH39" s="107">
        <v>26</v>
      </c>
      <c r="AI39" s="107">
        <v>27</v>
      </c>
      <c r="AJ39" s="107">
        <v>28</v>
      </c>
      <c r="AK39" s="107">
        <v>29</v>
      </c>
      <c r="AL39" s="107">
        <v>30</v>
      </c>
      <c r="AM39" s="107">
        <v>31</v>
      </c>
      <c r="AN39" s="107">
        <v>32</v>
      </c>
      <c r="AO39" s="107">
        <v>33</v>
      </c>
      <c r="AP39" s="107">
        <v>34</v>
      </c>
      <c r="AQ39" s="107">
        <v>35</v>
      </c>
      <c r="AR39" s="107">
        <v>36</v>
      </c>
      <c r="AS39" s="107">
        <v>37</v>
      </c>
      <c r="AT39" s="107">
        <v>38</v>
      </c>
      <c r="AU39" s="107">
        <v>39</v>
      </c>
      <c r="AV39" s="107">
        <v>40</v>
      </c>
      <c r="AW39" s="107">
        <v>41</v>
      </c>
      <c r="AX39" s="107">
        <v>42</v>
      </c>
      <c r="AY39" s="107">
        <v>43</v>
      </c>
      <c r="AZ39" s="107">
        <v>44</v>
      </c>
      <c r="BA39" s="107">
        <v>45</v>
      </c>
      <c r="BB39" s="107">
        <v>46</v>
      </c>
      <c r="BC39" s="107">
        <v>47</v>
      </c>
      <c r="BD39" s="107">
        <v>48</v>
      </c>
      <c r="BE39" s="107">
        <v>49</v>
      </c>
      <c r="BF39" s="107">
        <v>50</v>
      </c>
      <c r="BG39" s="107">
        <v>51</v>
      </c>
      <c r="BH39" s="107">
        <v>52</v>
      </c>
      <c r="BI39" s="107">
        <v>53</v>
      </c>
      <c r="BJ39" s="107">
        <v>54</v>
      </c>
      <c r="BK39" s="107">
        <v>55</v>
      </c>
      <c r="BL39" s="107">
        <v>56</v>
      </c>
      <c r="BM39" s="107">
        <v>57</v>
      </c>
      <c r="BN39" s="107">
        <v>58</v>
      </c>
      <c r="BO39" s="107">
        <v>59</v>
      </c>
      <c r="BP39" s="107">
        <v>60</v>
      </c>
      <c r="BQ39" s="107">
        <v>61</v>
      </c>
      <c r="BR39" s="107">
        <v>62</v>
      </c>
      <c r="BS39" s="107">
        <v>63</v>
      </c>
      <c r="BT39" s="107">
        <v>64</v>
      </c>
      <c r="BU39" s="107">
        <v>65</v>
      </c>
      <c r="BV39" s="107">
        <v>66</v>
      </c>
      <c r="BW39" s="107">
        <v>67</v>
      </c>
      <c r="BX39" s="107">
        <v>68</v>
      </c>
      <c r="BY39" s="107">
        <v>69</v>
      </c>
      <c r="BZ39" s="107">
        <v>70</v>
      </c>
      <c r="CA39" s="107">
        <v>71</v>
      </c>
      <c r="CB39" s="107">
        <v>72</v>
      </c>
      <c r="CC39" s="107">
        <v>73</v>
      </c>
      <c r="CD39" s="107">
        <v>74</v>
      </c>
      <c r="CE39" s="107">
        <v>75</v>
      </c>
      <c r="CF39" s="107">
        <v>76</v>
      </c>
      <c r="CG39" s="107">
        <v>77</v>
      </c>
      <c r="CH39" s="107">
        <v>78</v>
      </c>
      <c r="CI39" s="107">
        <v>79</v>
      </c>
      <c r="CJ39" s="107">
        <v>80</v>
      </c>
      <c r="CK39" s="107">
        <v>81</v>
      </c>
      <c r="CL39" s="107">
        <v>82</v>
      </c>
      <c r="CM39" s="107">
        <v>83</v>
      </c>
      <c r="CN39" s="107">
        <v>84</v>
      </c>
    </row>
    <row r="40" spans="1:92" x14ac:dyDescent="0.2">
      <c r="A40" s="97">
        <f>+'4. CC D'!A23</f>
        <v>2.2000000000000002</v>
      </c>
      <c r="B40" s="84" t="str">
        <f>+'4. CC D'!B23</f>
        <v>Auditoria, Monitoreo y Evaluación desarrollados</v>
      </c>
      <c r="C40" s="98"/>
      <c r="D40" s="98"/>
      <c r="E40" s="98"/>
      <c r="F40" s="98"/>
      <c r="G40" s="100">
        <f>+'4. CC D'!I23</f>
        <v>250000</v>
      </c>
      <c r="H40" s="100" t="str">
        <f>'[2]4. CC D'!G35</f>
        <v>ECATEF/DCV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</row>
    <row r="41" spans="1:92" x14ac:dyDescent="0.2">
      <c r="A41" s="103" t="str">
        <f>+'4. CC D'!A24</f>
        <v>2.2.1</v>
      </c>
      <c r="B41" s="104" t="str">
        <f>+'4. CC D'!B24</f>
        <v>Contratación de Firma Consultora para la Auditoria Externa del Programa PR-L1105</v>
      </c>
      <c r="C41" s="108" t="str">
        <f>+'4. CC D'!H24</f>
        <v>74 meses</v>
      </c>
      <c r="D41" s="105" t="s">
        <v>58</v>
      </c>
      <c r="E41" s="105" t="s">
        <v>61</v>
      </c>
      <c r="F41" s="105" t="s">
        <v>117</v>
      </c>
      <c r="G41" s="109">
        <f>+'4. CC D'!I24</f>
        <v>150000</v>
      </c>
      <c r="H41" s="109"/>
      <c r="I41" s="109"/>
      <c r="J41" s="109"/>
      <c r="K41" s="109"/>
      <c r="L41" s="109"/>
      <c r="M41" s="110"/>
      <c r="N41" s="110"/>
      <c r="O41" s="110"/>
      <c r="P41" s="93"/>
      <c r="Q41" s="93"/>
      <c r="R41" s="93"/>
      <c r="S41" s="94">
        <v>1</v>
      </c>
      <c r="T41" s="94">
        <v>2</v>
      </c>
      <c r="U41" s="94">
        <v>3</v>
      </c>
      <c r="V41" s="94">
        <v>4</v>
      </c>
      <c r="W41" s="94">
        <v>5</v>
      </c>
      <c r="X41" s="94">
        <v>6</v>
      </c>
      <c r="Y41" s="94">
        <v>7</v>
      </c>
      <c r="Z41" s="94">
        <v>8</v>
      </c>
      <c r="AA41" s="94">
        <v>9</v>
      </c>
      <c r="AB41" s="94">
        <v>10</v>
      </c>
      <c r="AC41" s="94">
        <v>11</v>
      </c>
      <c r="AD41" s="94">
        <v>12</v>
      </c>
      <c r="AE41" s="94">
        <v>13</v>
      </c>
      <c r="AF41" s="94">
        <v>14</v>
      </c>
      <c r="AG41" s="94">
        <v>15</v>
      </c>
      <c r="AH41" s="94">
        <v>16</v>
      </c>
      <c r="AI41" s="94">
        <v>17</v>
      </c>
      <c r="AJ41" s="94">
        <v>18</v>
      </c>
      <c r="AK41" s="94">
        <v>19</v>
      </c>
      <c r="AL41" s="94">
        <v>20</v>
      </c>
      <c r="AM41" s="94">
        <v>21</v>
      </c>
      <c r="AN41" s="94">
        <v>22</v>
      </c>
      <c r="AO41" s="94">
        <v>23</v>
      </c>
      <c r="AP41" s="94">
        <v>24</v>
      </c>
      <c r="AQ41" s="94">
        <v>25</v>
      </c>
      <c r="AR41" s="94">
        <v>26</v>
      </c>
      <c r="AS41" s="94">
        <v>27</v>
      </c>
      <c r="AT41" s="94">
        <v>28</v>
      </c>
      <c r="AU41" s="94">
        <v>29</v>
      </c>
      <c r="AV41" s="94">
        <v>30</v>
      </c>
      <c r="AW41" s="94">
        <v>31</v>
      </c>
      <c r="AX41" s="94">
        <v>32</v>
      </c>
      <c r="AY41" s="94">
        <v>33</v>
      </c>
      <c r="AZ41" s="94">
        <v>34</v>
      </c>
      <c r="BA41" s="94">
        <v>35</v>
      </c>
      <c r="BB41" s="94">
        <v>36</v>
      </c>
      <c r="BC41" s="94">
        <v>37</v>
      </c>
      <c r="BD41" s="94">
        <v>38</v>
      </c>
      <c r="BE41" s="94">
        <v>39</v>
      </c>
      <c r="BF41" s="94">
        <v>40</v>
      </c>
      <c r="BG41" s="94">
        <v>41</v>
      </c>
      <c r="BH41" s="94">
        <v>42</v>
      </c>
      <c r="BI41" s="94">
        <v>43</v>
      </c>
      <c r="BJ41" s="94">
        <v>44</v>
      </c>
      <c r="BK41" s="94">
        <v>45</v>
      </c>
      <c r="BL41" s="94">
        <v>46</v>
      </c>
      <c r="BM41" s="94">
        <v>47</v>
      </c>
      <c r="BN41" s="94">
        <v>48</v>
      </c>
      <c r="BO41" s="94">
        <v>49</v>
      </c>
      <c r="BP41" s="94">
        <v>50</v>
      </c>
      <c r="BQ41" s="94">
        <v>51</v>
      </c>
      <c r="BR41" s="94">
        <v>52</v>
      </c>
      <c r="BS41" s="94">
        <v>53</v>
      </c>
      <c r="BT41" s="94">
        <v>54</v>
      </c>
      <c r="BU41" s="94">
        <v>55</v>
      </c>
      <c r="BV41" s="94">
        <v>56</v>
      </c>
      <c r="BW41" s="94">
        <v>57</v>
      </c>
      <c r="BX41" s="94">
        <v>58</v>
      </c>
      <c r="BY41" s="94">
        <v>59</v>
      </c>
      <c r="BZ41" s="94">
        <v>60</v>
      </c>
      <c r="CA41" s="94">
        <v>61</v>
      </c>
      <c r="CB41" s="94">
        <v>62</v>
      </c>
      <c r="CC41" s="94">
        <v>63</v>
      </c>
      <c r="CD41" s="94">
        <v>64</v>
      </c>
      <c r="CE41" s="94">
        <v>65</v>
      </c>
      <c r="CF41" s="94">
        <v>66</v>
      </c>
      <c r="CG41" s="94">
        <v>67</v>
      </c>
      <c r="CH41" s="94">
        <v>68</v>
      </c>
      <c r="CI41" s="94">
        <v>69</v>
      </c>
      <c r="CJ41" s="94">
        <v>70</v>
      </c>
      <c r="CK41" s="94">
        <v>71</v>
      </c>
      <c r="CL41" s="94">
        <v>72</v>
      </c>
      <c r="CM41" s="94">
        <v>73</v>
      </c>
      <c r="CN41" s="94">
        <v>74</v>
      </c>
    </row>
    <row r="42" spans="1:92" ht="20.25" customHeight="1" x14ac:dyDescent="0.2">
      <c r="A42" s="103" t="str">
        <f>+'4. CC D'!A25</f>
        <v>2.2.2</v>
      </c>
      <c r="B42" s="104" t="str">
        <f>+'4. CC D'!B25</f>
        <v>Contratación de Firma Consultora para la Evaluación Final del Programa</v>
      </c>
      <c r="C42" s="108" t="str">
        <f>+'4. CC D'!H25</f>
        <v>6 meses</v>
      </c>
      <c r="D42" s="105" t="s">
        <v>370</v>
      </c>
      <c r="E42" s="105" t="s">
        <v>116</v>
      </c>
      <c r="F42" s="105" t="s">
        <v>117</v>
      </c>
      <c r="G42" s="109">
        <f>+'4. CC D'!I25</f>
        <v>100000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10"/>
      <c r="BX42" s="110"/>
      <c r="BY42" s="110"/>
      <c r="BZ42" s="110"/>
      <c r="CA42" s="93"/>
      <c r="CB42" s="93"/>
      <c r="CC42" s="93"/>
      <c r="CD42" s="93"/>
      <c r="CE42" s="93"/>
      <c r="CF42" s="93"/>
      <c r="CG42" s="111">
        <v>1</v>
      </c>
      <c r="CH42" s="111">
        <v>2</v>
      </c>
      <c r="CI42" s="111">
        <v>3</v>
      </c>
      <c r="CJ42" s="111">
        <v>4</v>
      </c>
      <c r="CK42" s="111">
        <v>5</v>
      </c>
      <c r="CL42" s="111">
        <v>6</v>
      </c>
      <c r="CM42" s="109"/>
      <c r="CN42" s="109"/>
    </row>
    <row r="43" spans="1:92" x14ac:dyDescent="0.2">
      <c r="A43" s="97">
        <v>2.2999999999999998</v>
      </c>
      <c r="B43" s="84" t="s">
        <v>273</v>
      </c>
      <c r="C43" s="98"/>
      <c r="D43" s="98"/>
      <c r="E43" s="98"/>
      <c r="F43" s="98"/>
      <c r="G43" s="100">
        <v>1450000</v>
      </c>
      <c r="H43" s="100" t="str">
        <f>+H40</f>
        <v>ECATEF/DCV</v>
      </c>
    </row>
    <row r="44" spans="1:92" x14ac:dyDescent="0.2">
      <c r="A44" s="103" t="str">
        <f>+'4. CC D'!A27</f>
        <v>2.2.1</v>
      </c>
      <c r="B44" s="104" t="str">
        <f>+'4. CC D'!B27</f>
        <v>Monitoreo y Evaluación Socio Ambiental</v>
      </c>
      <c r="C44" s="108" t="str">
        <f>+'4. CC D'!H27</f>
        <v>50 meses</v>
      </c>
      <c r="D44" s="96" t="s">
        <v>371</v>
      </c>
      <c r="E44" s="96" t="s">
        <v>372</v>
      </c>
      <c r="F44" s="96" t="s">
        <v>373</v>
      </c>
      <c r="G44" s="109">
        <f>+'4. CC D'!I27</f>
        <v>250000</v>
      </c>
      <c r="H44" s="109"/>
      <c r="I44" s="109"/>
      <c r="J44" s="109"/>
      <c r="K44" s="109"/>
      <c r="L44" s="109"/>
      <c r="M44" s="109"/>
      <c r="N44" s="92"/>
      <c r="O44" s="92"/>
      <c r="P44" s="92"/>
      <c r="Q44" s="93"/>
      <c r="R44" s="93"/>
      <c r="S44" s="93"/>
      <c r="T44" s="93"/>
      <c r="U44" s="93"/>
      <c r="V44" s="93"/>
      <c r="W44" s="93"/>
      <c r="X44" s="94">
        <v>1</v>
      </c>
      <c r="Y44" s="94">
        <v>2</v>
      </c>
      <c r="Z44" s="94">
        <v>3</v>
      </c>
      <c r="AA44" s="94">
        <v>4</v>
      </c>
      <c r="AB44" s="94">
        <v>5</v>
      </c>
      <c r="AC44" s="94">
        <v>6</v>
      </c>
      <c r="AD44" s="94">
        <v>7</v>
      </c>
      <c r="AE44" s="94">
        <v>8</v>
      </c>
      <c r="AF44" s="94">
        <v>9</v>
      </c>
      <c r="AG44" s="94">
        <v>10</v>
      </c>
      <c r="AH44" s="94">
        <v>11</v>
      </c>
      <c r="AI44" s="94">
        <v>12</v>
      </c>
      <c r="AJ44" s="94">
        <v>13</v>
      </c>
      <c r="AK44" s="94">
        <v>14</v>
      </c>
      <c r="AL44" s="94">
        <v>15</v>
      </c>
      <c r="AM44" s="94">
        <v>16</v>
      </c>
      <c r="AN44" s="94">
        <v>17</v>
      </c>
      <c r="AO44" s="94">
        <v>18</v>
      </c>
      <c r="AP44" s="94">
        <v>19</v>
      </c>
      <c r="AQ44" s="94">
        <v>20</v>
      </c>
      <c r="AR44" s="94">
        <v>21</v>
      </c>
      <c r="AS44" s="94">
        <v>22</v>
      </c>
      <c r="AT44" s="94">
        <v>23</v>
      </c>
      <c r="AU44" s="94">
        <v>24</v>
      </c>
      <c r="AV44" s="94">
        <v>25</v>
      </c>
      <c r="AW44" s="94">
        <v>26</v>
      </c>
      <c r="AX44" s="94">
        <v>27</v>
      </c>
      <c r="AY44" s="94">
        <v>28</v>
      </c>
      <c r="AZ44" s="94">
        <v>29</v>
      </c>
      <c r="BA44" s="94">
        <v>30</v>
      </c>
      <c r="BB44" s="94">
        <v>31</v>
      </c>
      <c r="BC44" s="94">
        <v>32</v>
      </c>
      <c r="BD44" s="94">
        <v>33</v>
      </c>
      <c r="BE44" s="94">
        <v>34</v>
      </c>
      <c r="BF44" s="94">
        <v>35</v>
      </c>
      <c r="BG44" s="94">
        <v>36</v>
      </c>
      <c r="BH44" s="94">
        <v>37</v>
      </c>
      <c r="BI44" s="94">
        <v>38</v>
      </c>
      <c r="BJ44" s="94">
        <v>39</v>
      </c>
      <c r="BK44" s="94">
        <v>40</v>
      </c>
      <c r="BL44" s="94">
        <v>41</v>
      </c>
      <c r="BM44" s="94">
        <v>42</v>
      </c>
      <c r="BN44" s="94">
        <v>43</v>
      </c>
      <c r="BO44" s="94">
        <v>44</v>
      </c>
      <c r="BP44" s="94">
        <v>45</v>
      </c>
      <c r="BQ44" s="94">
        <v>46</v>
      </c>
      <c r="BR44" s="94">
        <v>47</v>
      </c>
      <c r="BS44" s="94">
        <v>48</v>
      </c>
      <c r="BT44" s="94">
        <v>49</v>
      </c>
      <c r="BU44" s="94">
        <v>50</v>
      </c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</row>
    <row r="45" spans="1:92" x14ac:dyDescent="0.2">
      <c r="A45" s="103" t="str">
        <f>+'4. CC D'!A28</f>
        <v>2.2.2</v>
      </c>
      <c r="B45" s="104" t="str">
        <f>+'4. CC D'!B28</f>
        <v>Plan de Gestión Socio Ambiental</v>
      </c>
      <c r="C45" s="108" t="str">
        <f>+'4. CC D'!H28</f>
        <v>48 meses</v>
      </c>
      <c r="D45" s="96" t="s">
        <v>58</v>
      </c>
      <c r="E45" s="96" t="s">
        <v>64</v>
      </c>
      <c r="F45" s="105" t="s">
        <v>63</v>
      </c>
      <c r="G45" s="109">
        <f>+'4. CC D'!I28</f>
        <v>500000</v>
      </c>
      <c r="H45" s="109"/>
      <c r="I45" s="109"/>
      <c r="J45" s="109"/>
      <c r="K45" s="92"/>
      <c r="L45" s="92"/>
      <c r="M45" s="92"/>
      <c r="N45" s="93"/>
      <c r="O45" s="93"/>
      <c r="P45" s="93"/>
      <c r="Q45" s="93"/>
      <c r="R45" s="93"/>
      <c r="S45" s="93"/>
      <c r="T45" s="93"/>
      <c r="U45" s="94">
        <v>1</v>
      </c>
      <c r="V45" s="94">
        <v>2</v>
      </c>
      <c r="W45" s="94">
        <v>3</v>
      </c>
      <c r="X45" s="94">
        <v>4</v>
      </c>
      <c r="Y45" s="94">
        <v>5</v>
      </c>
      <c r="Z45" s="94">
        <v>6</v>
      </c>
      <c r="AA45" s="94">
        <v>7</v>
      </c>
      <c r="AB45" s="94">
        <v>8</v>
      </c>
      <c r="AC45" s="94">
        <v>9</v>
      </c>
      <c r="AD45" s="94">
        <v>10</v>
      </c>
      <c r="AE45" s="94">
        <v>11</v>
      </c>
      <c r="AF45" s="94">
        <v>12</v>
      </c>
      <c r="AG45" s="94">
        <v>13</v>
      </c>
      <c r="AH45" s="94">
        <v>14</v>
      </c>
      <c r="AI45" s="94">
        <v>15</v>
      </c>
      <c r="AJ45" s="94">
        <v>16</v>
      </c>
      <c r="AK45" s="94">
        <v>17</v>
      </c>
      <c r="AL45" s="94">
        <v>18</v>
      </c>
      <c r="AM45" s="94">
        <v>19</v>
      </c>
      <c r="AN45" s="94">
        <v>20</v>
      </c>
      <c r="AO45" s="94">
        <v>21</v>
      </c>
      <c r="AP45" s="94">
        <v>22</v>
      </c>
      <c r="AQ45" s="94">
        <v>23</v>
      </c>
      <c r="AR45" s="94">
        <v>24</v>
      </c>
      <c r="AS45" s="94">
        <v>25</v>
      </c>
      <c r="AT45" s="94">
        <v>26</v>
      </c>
      <c r="AU45" s="94">
        <v>27</v>
      </c>
      <c r="AV45" s="94">
        <v>28</v>
      </c>
      <c r="AW45" s="94">
        <v>29</v>
      </c>
      <c r="AX45" s="94">
        <v>30</v>
      </c>
      <c r="AY45" s="94">
        <v>31</v>
      </c>
      <c r="AZ45" s="94">
        <v>32</v>
      </c>
      <c r="BA45" s="94">
        <v>33</v>
      </c>
      <c r="BB45" s="94">
        <v>34</v>
      </c>
      <c r="BC45" s="94">
        <v>35</v>
      </c>
      <c r="BD45" s="94">
        <v>36</v>
      </c>
      <c r="BE45" s="94">
        <v>37</v>
      </c>
      <c r="BF45" s="94">
        <v>38</v>
      </c>
      <c r="BG45" s="94">
        <v>39</v>
      </c>
      <c r="BH45" s="94">
        <v>40</v>
      </c>
      <c r="BI45" s="94">
        <v>41</v>
      </c>
      <c r="BJ45" s="94">
        <v>42</v>
      </c>
      <c r="BK45" s="94">
        <v>43</v>
      </c>
      <c r="BL45" s="94">
        <v>44</v>
      </c>
      <c r="BM45" s="94">
        <v>45</v>
      </c>
      <c r="BN45" s="94">
        <v>46</v>
      </c>
      <c r="BO45" s="94">
        <v>47</v>
      </c>
      <c r="BP45" s="94">
        <v>48</v>
      </c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</row>
    <row r="46" spans="1:92" x14ac:dyDescent="0.2">
      <c r="A46" s="103" t="str">
        <f>+'4. CC D'!A29</f>
        <v>2.2.3</v>
      </c>
      <c r="B46" s="104" t="str">
        <f>+'4. CC D'!B29</f>
        <v>Pagos por Servicios Ambientales</v>
      </c>
      <c r="C46" s="108" t="s">
        <v>88</v>
      </c>
      <c r="D46" s="96"/>
      <c r="E46" s="96" t="s">
        <v>64</v>
      </c>
      <c r="F46" s="105" t="s">
        <v>63</v>
      </c>
      <c r="G46" s="109">
        <f>+'4. CC D'!I29</f>
        <v>700000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94">
        <v>1</v>
      </c>
      <c r="V46" s="94">
        <v>2</v>
      </c>
      <c r="W46" s="94">
        <v>3</v>
      </c>
      <c r="X46" s="94">
        <v>4</v>
      </c>
      <c r="Y46" s="94">
        <v>5</v>
      </c>
      <c r="Z46" s="94">
        <v>6</v>
      </c>
      <c r="AA46" s="94">
        <v>7</v>
      </c>
      <c r="AB46" s="94">
        <v>8</v>
      </c>
      <c r="AC46" s="94">
        <v>9</v>
      </c>
      <c r="AD46" s="94">
        <v>10</v>
      </c>
      <c r="AE46" s="94">
        <v>11</v>
      </c>
      <c r="AF46" s="94">
        <v>12</v>
      </c>
      <c r="AG46" s="94">
        <v>13</v>
      </c>
      <c r="AH46" s="94">
        <v>14</v>
      </c>
      <c r="AI46" s="94">
        <v>15</v>
      </c>
      <c r="AJ46" s="94">
        <v>16</v>
      </c>
      <c r="AK46" s="94">
        <v>17</v>
      </c>
      <c r="AL46" s="94">
        <v>18</v>
      </c>
      <c r="AM46" s="94">
        <v>19</v>
      </c>
      <c r="AN46" s="94">
        <v>20</v>
      </c>
      <c r="AO46" s="94">
        <v>21</v>
      </c>
      <c r="AP46" s="94">
        <v>22</v>
      </c>
      <c r="AQ46" s="94">
        <v>23</v>
      </c>
      <c r="AR46" s="94">
        <v>24</v>
      </c>
      <c r="AS46" s="94">
        <v>25</v>
      </c>
      <c r="AT46" s="94">
        <v>26</v>
      </c>
      <c r="AU46" s="94">
        <v>27</v>
      </c>
      <c r="AV46" s="94">
        <v>28</v>
      </c>
      <c r="AW46" s="94">
        <v>29</v>
      </c>
      <c r="AX46" s="94">
        <v>30</v>
      </c>
      <c r="AY46" s="94">
        <v>31</v>
      </c>
      <c r="AZ46" s="94">
        <v>32</v>
      </c>
      <c r="BA46" s="94">
        <v>33</v>
      </c>
      <c r="BB46" s="94">
        <v>34</v>
      </c>
      <c r="BC46" s="94">
        <v>35</v>
      </c>
      <c r="BD46" s="94">
        <v>36</v>
      </c>
      <c r="BE46" s="94">
        <v>37</v>
      </c>
      <c r="BF46" s="94">
        <v>38</v>
      </c>
      <c r="BG46" s="94">
        <v>39</v>
      </c>
      <c r="BH46" s="94">
        <v>40</v>
      </c>
      <c r="BI46" s="94">
        <v>41</v>
      </c>
      <c r="BJ46" s="94">
        <v>42</v>
      </c>
      <c r="BK46" s="94">
        <v>43</v>
      </c>
      <c r="BL46" s="94">
        <v>44</v>
      </c>
      <c r="BM46" s="94">
        <v>45</v>
      </c>
      <c r="BN46" s="94">
        <v>46</v>
      </c>
      <c r="BO46" s="94">
        <v>47</v>
      </c>
      <c r="BP46" s="94">
        <v>48</v>
      </c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</row>
    <row r="47" spans="1:92" x14ac:dyDescent="0.2">
      <c r="B47" s="311"/>
    </row>
  </sheetData>
  <mergeCells count="45">
    <mergeCell ref="CC8:CE8"/>
    <mergeCell ref="CF8:CH8"/>
    <mergeCell ref="CI8:CK8"/>
    <mergeCell ref="CL8:CN8"/>
    <mergeCell ref="CC7:CN7"/>
    <mergeCell ref="BQ7:CB7"/>
    <mergeCell ref="BQ8:BS8"/>
    <mergeCell ref="BT8:BV8"/>
    <mergeCell ref="BW8:BY8"/>
    <mergeCell ref="BZ8:CB8"/>
    <mergeCell ref="A1:B1"/>
    <mergeCell ref="A2:B2"/>
    <mergeCell ref="A4:B4"/>
    <mergeCell ref="A6:B6"/>
    <mergeCell ref="I7:T7"/>
    <mergeCell ref="AG7:AR7"/>
    <mergeCell ref="AS7:BD7"/>
    <mergeCell ref="BE7:BP7"/>
    <mergeCell ref="A8:A9"/>
    <mergeCell ref="B8:B9"/>
    <mergeCell ref="C8:C9"/>
    <mergeCell ref="D8:D9"/>
    <mergeCell ref="E8:E9"/>
    <mergeCell ref="F8:F9"/>
    <mergeCell ref="I8:K8"/>
    <mergeCell ref="U7:AF7"/>
    <mergeCell ref="AS8:AU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BN8:BP8"/>
    <mergeCell ref="AV8:AX8"/>
    <mergeCell ref="AY8:BA8"/>
    <mergeCell ref="BB8:BD8"/>
    <mergeCell ref="BE8:BG8"/>
    <mergeCell ref="BH8:BJ8"/>
    <mergeCell ref="BK8:BM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9"/>
  <sheetViews>
    <sheetView showGridLines="0" zoomScale="80" zoomScaleNormal="80" zoomScaleSheetLayoutView="70" workbookViewId="0">
      <selection activeCell="A26" sqref="A26:XFD26"/>
    </sheetView>
  </sheetViews>
  <sheetFormatPr defaultColWidth="11.42578125" defaultRowHeight="12.75" x14ac:dyDescent="0.2"/>
  <cols>
    <col min="1" max="1" width="10.140625" style="118" customWidth="1"/>
    <col min="2" max="2" width="55.85546875" style="35" customWidth="1"/>
    <col min="3" max="3" width="26.85546875" style="35" customWidth="1"/>
    <col min="4" max="4" width="12.140625" style="117" customWidth="1"/>
    <col min="5" max="5" width="14.5703125" style="117" customWidth="1"/>
    <col min="6" max="6" width="14.42578125" style="116" customWidth="1"/>
    <col min="7" max="7" width="19.85546875" style="116" customWidth="1"/>
    <col min="8" max="8" width="14.5703125" style="115" customWidth="1"/>
    <col min="9" max="9" width="16" style="114" bestFit="1" customWidth="1"/>
    <col min="10" max="10" width="14.7109375" style="113" customWidth="1"/>
    <col min="11" max="11" width="18.28515625" style="29" bestFit="1" customWidth="1"/>
    <col min="12" max="13" width="11.42578125" style="29"/>
    <col min="14" max="14" width="0" style="29" hidden="1" customWidth="1"/>
    <col min="15" max="15" width="11.42578125" style="29"/>
    <col min="16" max="16" width="12.42578125" style="29" bestFit="1" customWidth="1"/>
    <col min="17" max="224" width="11.42578125" style="29"/>
    <col min="225" max="225" width="44.42578125" style="29" customWidth="1"/>
    <col min="226" max="226" width="13" style="29" customWidth="1"/>
    <col min="227" max="232" width="2" style="29" customWidth="1"/>
    <col min="233" max="233" width="2.42578125" style="29" customWidth="1"/>
    <col min="234" max="234" width="3" style="29" customWidth="1"/>
    <col min="235" max="237" width="2" style="29" customWidth="1"/>
    <col min="238" max="238" width="2.85546875" style="29" customWidth="1"/>
    <col min="239" max="239" width="3" style="29" customWidth="1"/>
    <col min="240" max="240" width="2.7109375" style="29" customWidth="1"/>
    <col min="241" max="241" width="2.42578125" style="29" customWidth="1"/>
    <col min="242" max="242" width="3.28515625" style="29" customWidth="1"/>
    <col min="243" max="243" width="3.5703125" style="29" customWidth="1"/>
    <col min="244" max="244" width="4" style="29" customWidth="1"/>
    <col min="245" max="245" width="3.42578125" style="29" customWidth="1"/>
    <col min="246" max="246" width="3" style="29" customWidth="1"/>
    <col min="247" max="480" width="11.42578125" style="29"/>
    <col min="481" max="481" width="44.42578125" style="29" customWidth="1"/>
    <col min="482" max="482" width="13" style="29" customWidth="1"/>
    <col min="483" max="488" width="2" style="29" customWidth="1"/>
    <col min="489" max="489" width="2.42578125" style="29" customWidth="1"/>
    <col min="490" max="490" width="3" style="29" customWidth="1"/>
    <col min="491" max="493" width="2" style="29" customWidth="1"/>
    <col min="494" max="494" width="2.85546875" style="29" customWidth="1"/>
    <col min="495" max="495" width="3" style="29" customWidth="1"/>
    <col min="496" max="496" width="2.7109375" style="29" customWidth="1"/>
    <col min="497" max="497" width="2.42578125" style="29" customWidth="1"/>
    <col min="498" max="498" width="3.28515625" style="29" customWidth="1"/>
    <col min="499" max="499" width="3.5703125" style="29" customWidth="1"/>
    <col min="500" max="500" width="4" style="29" customWidth="1"/>
    <col min="501" max="501" width="3.42578125" style="29" customWidth="1"/>
    <col min="502" max="502" width="3" style="29" customWidth="1"/>
    <col min="503" max="736" width="11.42578125" style="29"/>
    <col min="737" max="737" width="44.42578125" style="29" customWidth="1"/>
    <col min="738" max="738" width="13" style="29" customWidth="1"/>
    <col min="739" max="744" width="2" style="29" customWidth="1"/>
    <col min="745" max="745" width="2.42578125" style="29" customWidth="1"/>
    <col min="746" max="746" width="3" style="29" customWidth="1"/>
    <col min="747" max="749" width="2" style="29" customWidth="1"/>
    <col min="750" max="750" width="2.85546875" style="29" customWidth="1"/>
    <col min="751" max="751" width="3" style="29" customWidth="1"/>
    <col min="752" max="752" width="2.7109375" style="29" customWidth="1"/>
    <col min="753" max="753" width="2.42578125" style="29" customWidth="1"/>
    <col min="754" max="754" width="3.28515625" style="29" customWidth="1"/>
    <col min="755" max="755" width="3.5703125" style="29" customWidth="1"/>
    <col min="756" max="756" width="4" style="29" customWidth="1"/>
    <col min="757" max="757" width="3.42578125" style="29" customWidth="1"/>
    <col min="758" max="758" width="3" style="29" customWidth="1"/>
    <col min="759" max="992" width="11.42578125" style="29"/>
    <col min="993" max="993" width="44.42578125" style="29" customWidth="1"/>
    <col min="994" max="994" width="13" style="29" customWidth="1"/>
    <col min="995" max="1000" width="2" style="29" customWidth="1"/>
    <col min="1001" max="1001" width="2.42578125" style="29" customWidth="1"/>
    <col min="1002" max="1002" width="3" style="29" customWidth="1"/>
    <col min="1003" max="1005" width="2" style="29" customWidth="1"/>
    <col min="1006" max="1006" width="2.85546875" style="29" customWidth="1"/>
    <col min="1007" max="1007" width="3" style="29" customWidth="1"/>
    <col min="1008" max="1008" width="2.7109375" style="29" customWidth="1"/>
    <col min="1009" max="1009" width="2.42578125" style="29" customWidth="1"/>
    <col min="1010" max="1010" width="3.28515625" style="29" customWidth="1"/>
    <col min="1011" max="1011" width="3.5703125" style="29" customWidth="1"/>
    <col min="1012" max="1012" width="4" style="29" customWidth="1"/>
    <col min="1013" max="1013" width="3.42578125" style="29" customWidth="1"/>
    <col min="1014" max="1014" width="3" style="29" customWidth="1"/>
    <col min="1015" max="1248" width="11.42578125" style="29"/>
    <col min="1249" max="1249" width="44.42578125" style="29" customWidth="1"/>
    <col min="1250" max="1250" width="13" style="29" customWidth="1"/>
    <col min="1251" max="1256" width="2" style="29" customWidth="1"/>
    <col min="1257" max="1257" width="2.42578125" style="29" customWidth="1"/>
    <col min="1258" max="1258" width="3" style="29" customWidth="1"/>
    <col min="1259" max="1261" width="2" style="29" customWidth="1"/>
    <col min="1262" max="1262" width="2.85546875" style="29" customWidth="1"/>
    <col min="1263" max="1263" width="3" style="29" customWidth="1"/>
    <col min="1264" max="1264" width="2.7109375" style="29" customWidth="1"/>
    <col min="1265" max="1265" width="2.42578125" style="29" customWidth="1"/>
    <col min="1266" max="1266" width="3.28515625" style="29" customWidth="1"/>
    <col min="1267" max="1267" width="3.5703125" style="29" customWidth="1"/>
    <col min="1268" max="1268" width="4" style="29" customWidth="1"/>
    <col min="1269" max="1269" width="3.42578125" style="29" customWidth="1"/>
    <col min="1270" max="1270" width="3" style="29" customWidth="1"/>
    <col min="1271" max="1504" width="11.42578125" style="29"/>
    <col min="1505" max="1505" width="44.42578125" style="29" customWidth="1"/>
    <col min="1506" max="1506" width="13" style="29" customWidth="1"/>
    <col min="1507" max="1512" width="2" style="29" customWidth="1"/>
    <col min="1513" max="1513" width="2.42578125" style="29" customWidth="1"/>
    <col min="1514" max="1514" width="3" style="29" customWidth="1"/>
    <col min="1515" max="1517" width="2" style="29" customWidth="1"/>
    <col min="1518" max="1518" width="2.85546875" style="29" customWidth="1"/>
    <col min="1519" max="1519" width="3" style="29" customWidth="1"/>
    <col min="1520" max="1520" width="2.7109375" style="29" customWidth="1"/>
    <col min="1521" max="1521" width="2.42578125" style="29" customWidth="1"/>
    <col min="1522" max="1522" width="3.28515625" style="29" customWidth="1"/>
    <col min="1523" max="1523" width="3.5703125" style="29" customWidth="1"/>
    <col min="1524" max="1524" width="4" style="29" customWidth="1"/>
    <col min="1525" max="1525" width="3.42578125" style="29" customWidth="1"/>
    <col min="1526" max="1526" width="3" style="29" customWidth="1"/>
    <col min="1527" max="1760" width="11.42578125" style="29"/>
    <col min="1761" max="1761" width="44.42578125" style="29" customWidth="1"/>
    <col min="1762" max="1762" width="13" style="29" customWidth="1"/>
    <col min="1763" max="1768" width="2" style="29" customWidth="1"/>
    <col min="1769" max="1769" width="2.42578125" style="29" customWidth="1"/>
    <col min="1770" max="1770" width="3" style="29" customWidth="1"/>
    <col min="1771" max="1773" width="2" style="29" customWidth="1"/>
    <col min="1774" max="1774" width="2.85546875" style="29" customWidth="1"/>
    <col min="1775" max="1775" width="3" style="29" customWidth="1"/>
    <col min="1776" max="1776" width="2.7109375" style="29" customWidth="1"/>
    <col min="1777" max="1777" width="2.42578125" style="29" customWidth="1"/>
    <col min="1778" max="1778" width="3.28515625" style="29" customWidth="1"/>
    <col min="1779" max="1779" width="3.5703125" style="29" customWidth="1"/>
    <col min="1780" max="1780" width="4" style="29" customWidth="1"/>
    <col min="1781" max="1781" width="3.42578125" style="29" customWidth="1"/>
    <col min="1782" max="1782" width="3" style="29" customWidth="1"/>
    <col min="1783" max="2016" width="11.42578125" style="29"/>
    <col min="2017" max="2017" width="44.42578125" style="29" customWidth="1"/>
    <col min="2018" max="2018" width="13" style="29" customWidth="1"/>
    <col min="2019" max="2024" width="2" style="29" customWidth="1"/>
    <col min="2025" max="2025" width="2.42578125" style="29" customWidth="1"/>
    <col min="2026" max="2026" width="3" style="29" customWidth="1"/>
    <col min="2027" max="2029" width="2" style="29" customWidth="1"/>
    <col min="2030" max="2030" width="2.85546875" style="29" customWidth="1"/>
    <col min="2031" max="2031" width="3" style="29" customWidth="1"/>
    <col min="2032" max="2032" width="2.7109375" style="29" customWidth="1"/>
    <col min="2033" max="2033" width="2.42578125" style="29" customWidth="1"/>
    <col min="2034" max="2034" width="3.28515625" style="29" customWidth="1"/>
    <col min="2035" max="2035" width="3.5703125" style="29" customWidth="1"/>
    <col min="2036" max="2036" width="4" style="29" customWidth="1"/>
    <col min="2037" max="2037" width="3.42578125" style="29" customWidth="1"/>
    <col min="2038" max="2038" width="3" style="29" customWidth="1"/>
    <col min="2039" max="2272" width="11.42578125" style="29"/>
    <col min="2273" max="2273" width="44.42578125" style="29" customWidth="1"/>
    <col min="2274" max="2274" width="13" style="29" customWidth="1"/>
    <col min="2275" max="2280" width="2" style="29" customWidth="1"/>
    <col min="2281" max="2281" width="2.42578125" style="29" customWidth="1"/>
    <col min="2282" max="2282" width="3" style="29" customWidth="1"/>
    <col min="2283" max="2285" width="2" style="29" customWidth="1"/>
    <col min="2286" max="2286" width="2.85546875" style="29" customWidth="1"/>
    <col min="2287" max="2287" width="3" style="29" customWidth="1"/>
    <col min="2288" max="2288" width="2.7109375" style="29" customWidth="1"/>
    <col min="2289" max="2289" width="2.42578125" style="29" customWidth="1"/>
    <col min="2290" max="2290" width="3.28515625" style="29" customWidth="1"/>
    <col min="2291" max="2291" width="3.5703125" style="29" customWidth="1"/>
    <col min="2292" max="2292" width="4" style="29" customWidth="1"/>
    <col min="2293" max="2293" width="3.42578125" style="29" customWidth="1"/>
    <col min="2294" max="2294" width="3" style="29" customWidth="1"/>
    <col min="2295" max="2528" width="11.42578125" style="29"/>
    <col min="2529" max="2529" width="44.42578125" style="29" customWidth="1"/>
    <col min="2530" max="2530" width="13" style="29" customWidth="1"/>
    <col min="2531" max="2536" width="2" style="29" customWidth="1"/>
    <col min="2537" max="2537" width="2.42578125" style="29" customWidth="1"/>
    <col min="2538" max="2538" width="3" style="29" customWidth="1"/>
    <col min="2539" max="2541" width="2" style="29" customWidth="1"/>
    <col min="2542" max="2542" width="2.85546875" style="29" customWidth="1"/>
    <col min="2543" max="2543" width="3" style="29" customWidth="1"/>
    <col min="2544" max="2544" width="2.7109375" style="29" customWidth="1"/>
    <col min="2545" max="2545" width="2.42578125" style="29" customWidth="1"/>
    <col min="2546" max="2546" width="3.28515625" style="29" customWidth="1"/>
    <col min="2547" max="2547" width="3.5703125" style="29" customWidth="1"/>
    <col min="2548" max="2548" width="4" style="29" customWidth="1"/>
    <col min="2549" max="2549" width="3.42578125" style="29" customWidth="1"/>
    <col min="2550" max="2550" width="3" style="29" customWidth="1"/>
    <col min="2551" max="2784" width="11.42578125" style="29"/>
    <col min="2785" max="2785" width="44.42578125" style="29" customWidth="1"/>
    <col min="2786" max="2786" width="13" style="29" customWidth="1"/>
    <col min="2787" max="2792" width="2" style="29" customWidth="1"/>
    <col min="2793" max="2793" width="2.42578125" style="29" customWidth="1"/>
    <col min="2794" max="2794" width="3" style="29" customWidth="1"/>
    <col min="2795" max="2797" width="2" style="29" customWidth="1"/>
    <col min="2798" max="2798" width="2.85546875" style="29" customWidth="1"/>
    <col min="2799" max="2799" width="3" style="29" customWidth="1"/>
    <col min="2800" max="2800" width="2.7109375" style="29" customWidth="1"/>
    <col min="2801" max="2801" width="2.42578125" style="29" customWidth="1"/>
    <col min="2802" max="2802" width="3.28515625" style="29" customWidth="1"/>
    <col min="2803" max="2803" width="3.5703125" style="29" customWidth="1"/>
    <col min="2804" max="2804" width="4" style="29" customWidth="1"/>
    <col min="2805" max="2805" width="3.42578125" style="29" customWidth="1"/>
    <col min="2806" max="2806" width="3" style="29" customWidth="1"/>
    <col min="2807" max="3040" width="11.42578125" style="29"/>
    <col min="3041" max="3041" width="44.42578125" style="29" customWidth="1"/>
    <col min="3042" max="3042" width="13" style="29" customWidth="1"/>
    <col min="3043" max="3048" width="2" style="29" customWidth="1"/>
    <col min="3049" max="3049" width="2.42578125" style="29" customWidth="1"/>
    <col min="3050" max="3050" width="3" style="29" customWidth="1"/>
    <col min="3051" max="3053" width="2" style="29" customWidth="1"/>
    <col min="3054" max="3054" width="2.85546875" style="29" customWidth="1"/>
    <col min="3055" max="3055" width="3" style="29" customWidth="1"/>
    <col min="3056" max="3056" width="2.7109375" style="29" customWidth="1"/>
    <col min="3057" max="3057" width="2.42578125" style="29" customWidth="1"/>
    <col min="3058" max="3058" width="3.28515625" style="29" customWidth="1"/>
    <col min="3059" max="3059" width="3.5703125" style="29" customWidth="1"/>
    <col min="3060" max="3060" width="4" style="29" customWidth="1"/>
    <col min="3061" max="3061" width="3.42578125" style="29" customWidth="1"/>
    <col min="3062" max="3062" width="3" style="29" customWidth="1"/>
    <col min="3063" max="3296" width="11.42578125" style="29"/>
    <col min="3297" max="3297" width="44.42578125" style="29" customWidth="1"/>
    <col min="3298" max="3298" width="13" style="29" customWidth="1"/>
    <col min="3299" max="3304" width="2" style="29" customWidth="1"/>
    <col min="3305" max="3305" width="2.42578125" style="29" customWidth="1"/>
    <col min="3306" max="3306" width="3" style="29" customWidth="1"/>
    <col min="3307" max="3309" width="2" style="29" customWidth="1"/>
    <col min="3310" max="3310" width="2.85546875" style="29" customWidth="1"/>
    <col min="3311" max="3311" width="3" style="29" customWidth="1"/>
    <col min="3312" max="3312" width="2.7109375" style="29" customWidth="1"/>
    <col min="3313" max="3313" width="2.42578125" style="29" customWidth="1"/>
    <col min="3314" max="3314" width="3.28515625" style="29" customWidth="1"/>
    <col min="3315" max="3315" width="3.5703125" style="29" customWidth="1"/>
    <col min="3316" max="3316" width="4" style="29" customWidth="1"/>
    <col min="3317" max="3317" width="3.42578125" style="29" customWidth="1"/>
    <col min="3318" max="3318" width="3" style="29" customWidth="1"/>
    <col min="3319" max="3552" width="11.42578125" style="29"/>
    <col min="3553" max="3553" width="44.42578125" style="29" customWidth="1"/>
    <col min="3554" max="3554" width="13" style="29" customWidth="1"/>
    <col min="3555" max="3560" width="2" style="29" customWidth="1"/>
    <col min="3561" max="3561" width="2.42578125" style="29" customWidth="1"/>
    <col min="3562" max="3562" width="3" style="29" customWidth="1"/>
    <col min="3563" max="3565" width="2" style="29" customWidth="1"/>
    <col min="3566" max="3566" width="2.85546875" style="29" customWidth="1"/>
    <col min="3567" max="3567" width="3" style="29" customWidth="1"/>
    <col min="3568" max="3568" width="2.7109375" style="29" customWidth="1"/>
    <col min="3569" max="3569" width="2.42578125" style="29" customWidth="1"/>
    <col min="3570" max="3570" width="3.28515625" style="29" customWidth="1"/>
    <col min="3571" max="3571" width="3.5703125" style="29" customWidth="1"/>
    <col min="3572" max="3572" width="4" style="29" customWidth="1"/>
    <col min="3573" max="3573" width="3.42578125" style="29" customWidth="1"/>
    <col min="3574" max="3574" width="3" style="29" customWidth="1"/>
    <col min="3575" max="3808" width="11.42578125" style="29"/>
    <col min="3809" max="3809" width="44.42578125" style="29" customWidth="1"/>
    <col min="3810" max="3810" width="13" style="29" customWidth="1"/>
    <col min="3811" max="3816" width="2" style="29" customWidth="1"/>
    <col min="3817" max="3817" width="2.42578125" style="29" customWidth="1"/>
    <col min="3818" max="3818" width="3" style="29" customWidth="1"/>
    <col min="3819" max="3821" width="2" style="29" customWidth="1"/>
    <col min="3822" max="3822" width="2.85546875" style="29" customWidth="1"/>
    <col min="3823" max="3823" width="3" style="29" customWidth="1"/>
    <col min="3824" max="3824" width="2.7109375" style="29" customWidth="1"/>
    <col min="3825" max="3825" width="2.42578125" style="29" customWidth="1"/>
    <col min="3826" max="3826" width="3.28515625" style="29" customWidth="1"/>
    <col min="3827" max="3827" width="3.5703125" style="29" customWidth="1"/>
    <col min="3828" max="3828" width="4" style="29" customWidth="1"/>
    <col min="3829" max="3829" width="3.42578125" style="29" customWidth="1"/>
    <col min="3830" max="3830" width="3" style="29" customWidth="1"/>
    <col min="3831" max="4064" width="11.42578125" style="29"/>
    <col min="4065" max="4065" width="44.42578125" style="29" customWidth="1"/>
    <col min="4066" max="4066" width="13" style="29" customWidth="1"/>
    <col min="4067" max="4072" width="2" style="29" customWidth="1"/>
    <col min="4073" max="4073" width="2.42578125" style="29" customWidth="1"/>
    <col min="4074" max="4074" width="3" style="29" customWidth="1"/>
    <col min="4075" max="4077" width="2" style="29" customWidth="1"/>
    <col min="4078" max="4078" width="2.85546875" style="29" customWidth="1"/>
    <col min="4079" max="4079" width="3" style="29" customWidth="1"/>
    <col min="4080" max="4080" width="2.7109375" style="29" customWidth="1"/>
    <col min="4081" max="4081" width="2.42578125" style="29" customWidth="1"/>
    <col min="4082" max="4082" width="3.28515625" style="29" customWidth="1"/>
    <col min="4083" max="4083" width="3.5703125" style="29" customWidth="1"/>
    <col min="4084" max="4084" width="4" style="29" customWidth="1"/>
    <col min="4085" max="4085" width="3.42578125" style="29" customWidth="1"/>
    <col min="4086" max="4086" width="3" style="29" customWidth="1"/>
    <col min="4087" max="4320" width="11.42578125" style="29"/>
    <col min="4321" max="4321" width="44.42578125" style="29" customWidth="1"/>
    <col min="4322" max="4322" width="13" style="29" customWidth="1"/>
    <col min="4323" max="4328" width="2" style="29" customWidth="1"/>
    <col min="4329" max="4329" width="2.42578125" style="29" customWidth="1"/>
    <col min="4330" max="4330" width="3" style="29" customWidth="1"/>
    <col min="4331" max="4333" width="2" style="29" customWidth="1"/>
    <col min="4334" max="4334" width="2.85546875" style="29" customWidth="1"/>
    <col min="4335" max="4335" width="3" style="29" customWidth="1"/>
    <col min="4336" max="4336" width="2.7109375" style="29" customWidth="1"/>
    <col min="4337" max="4337" width="2.42578125" style="29" customWidth="1"/>
    <col min="4338" max="4338" width="3.28515625" style="29" customWidth="1"/>
    <col min="4339" max="4339" width="3.5703125" style="29" customWidth="1"/>
    <col min="4340" max="4340" width="4" style="29" customWidth="1"/>
    <col min="4341" max="4341" width="3.42578125" style="29" customWidth="1"/>
    <col min="4342" max="4342" width="3" style="29" customWidth="1"/>
    <col min="4343" max="4576" width="11.42578125" style="29"/>
    <col min="4577" max="4577" width="44.42578125" style="29" customWidth="1"/>
    <col min="4578" max="4578" width="13" style="29" customWidth="1"/>
    <col min="4579" max="4584" width="2" style="29" customWidth="1"/>
    <col min="4585" max="4585" width="2.42578125" style="29" customWidth="1"/>
    <col min="4586" max="4586" width="3" style="29" customWidth="1"/>
    <col min="4587" max="4589" width="2" style="29" customWidth="1"/>
    <col min="4590" max="4590" width="2.85546875" style="29" customWidth="1"/>
    <col min="4591" max="4591" width="3" style="29" customWidth="1"/>
    <col min="4592" max="4592" width="2.7109375" style="29" customWidth="1"/>
    <col min="4593" max="4593" width="2.42578125" style="29" customWidth="1"/>
    <col min="4594" max="4594" width="3.28515625" style="29" customWidth="1"/>
    <col min="4595" max="4595" width="3.5703125" style="29" customWidth="1"/>
    <col min="4596" max="4596" width="4" style="29" customWidth="1"/>
    <col min="4597" max="4597" width="3.42578125" style="29" customWidth="1"/>
    <col min="4598" max="4598" width="3" style="29" customWidth="1"/>
    <col min="4599" max="4832" width="11.42578125" style="29"/>
    <col min="4833" max="4833" width="44.42578125" style="29" customWidth="1"/>
    <col min="4834" max="4834" width="13" style="29" customWidth="1"/>
    <col min="4835" max="4840" width="2" style="29" customWidth="1"/>
    <col min="4841" max="4841" width="2.42578125" style="29" customWidth="1"/>
    <col min="4842" max="4842" width="3" style="29" customWidth="1"/>
    <col min="4843" max="4845" width="2" style="29" customWidth="1"/>
    <col min="4846" max="4846" width="2.85546875" style="29" customWidth="1"/>
    <col min="4847" max="4847" width="3" style="29" customWidth="1"/>
    <col min="4848" max="4848" width="2.7109375" style="29" customWidth="1"/>
    <col min="4849" max="4849" width="2.42578125" style="29" customWidth="1"/>
    <col min="4850" max="4850" width="3.28515625" style="29" customWidth="1"/>
    <col min="4851" max="4851" width="3.5703125" style="29" customWidth="1"/>
    <col min="4852" max="4852" width="4" style="29" customWidth="1"/>
    <col min="4853" max="4853" width="3.42578125" style="29" customWidth="1"/>
    <col min="4854" max="4854" width="3" style="29" customWidth="1"/>
    <col min="4855" max="5088" width="11.42578125" style="29"/>
    <col min="5089" max="5089" width="44.42578125" style="29" customWidth="1"/>
    <col min="5090" max="5090" width="13" style="29" customWidth="1"/>
    <col min="5091" max="5096" width="2" style="29" customWidth="1"/>
    <col min="5097" max="5097" width="2.42578125" style="29" customWidth="1"/>
    <col min="5098" max="5098" width="3" style="29" customWidth="1"/>
    <col min="5099" max="5101" width="2" style="29" customWidth="1"/>
    <col min="5102" max="5102" width="2.85546875" style="29" customWidth="1"/>
    <col min="5103" max="5103" width="3" style="29" customWidth="1"/>
    <col min="5104" max="5104" width="2.7109375" style="29" customWidth="1"/>
    <col min="5105" max="5105" width="2.42578125" style="29" customWidth="1"/>
    <col min="5106" max="5106" width="3.28515625" style="29" customWidth="1"/>
    <col min="5107" max="5107" width="3.5703125" style="29" customWidth="1"/>
    <col min="5108" max="5108" width="4" style="29" customWidth="1"/>
    <col min="5109" max="5109" width="3.42578125" style="29" customWidth="1"/>
    <col min="5110" max="5110" width="3" style="29" customWidth="1"/>
    <col min="5111" max="5344" width="11.42578125" style="29"/>
    <col min="5345" max="5345" width="44.42578125" style="29" customWidth="1"/>
    <col min="5346" max="5346" width="13" style="29" customWidth="1"/>
    <col min="5347" max="5352" width="2" style="29" customWidth="1"/>
    <col min="5353" max="5353" width="2.42578125" style="29" customWidth="1"/>
    <col min="5354" max="5354" width="3" style="29" customWidth="1"/>
    <col min="5355" max="5357" width="2" style="29" customWidth="1"/>
    <col min="5358" max="5358" width="2.85546875" style="29" customWidth="1"/>
    <col min="5359" max="5359" width="3" style="29" customWidth="1"/>
    <col min="5360" max="5360" width="2.7109375" style="29" customWidth="1"/>
    <col min="5361" max="5361" width="2.42578125" style="29" customWidth="1"/>
    <col min="5362" max="5362" width="3.28515625" style="29" customWidth="1"/>
    <col min="5363" max="5363" width="3.5703125" style="29" customWidth="1"/>
    <col min="5364" max="5364" width="4" style="29" customWidth="1"/>
    <col min="5365" max="5365" width="3.42578125" style="29" customWidth="1"/>
    <col min="5366" max="5366" width="3" style="29" customWidth="1"/>
    <col min="5367" max="5600" width="11.42578125" style="29"/>
    <col min="5601" max="5601" width="44.42578125" style="29" customWidth="1"/>
    <col min="5602" max="5602" width="13" style="29" customWidth="1"/>
    <col min="5603" max="5608" width="2" style="29" customWidth="1"/>
    <col min="5609" max="5609" width="2.42578125" style="29" customWidth="1"/>
    <col min="5610" max="5610" width="3" style="29" customWidth="1"/>
    <col min="5611" max="5613" width="2" style="29" customWidth="1"/>
    <col min="5614" max="5614" width="2.85546875" style="29" customWidth="1"/>
    <col min="5615" max="5615" width="3" style="29" customWidth="1"/>
    <col min="5616" max="5616" width="2.7109375" style="29" customWidth="1"/>
    <col min="5617" max="5617" width="2.42578125" style="29" customWidth="1"/>
    <col min="5618" max="5618" width="3.28515625" style="29" customWidth="1"/>
    <col min="5619" max="5619" width="3.5703125" style="29" customWidth="1"/>
    <col min="5620" max="5620" width="4" style="29" customWidth="1"/>
    <col min="5621" max="5621" width="3.42578125" style="29" customWidth="1"/>
    <col min="5622" max="5622" width="3" style="29" customWidth="1"/>
    <col min="5623" max="5856" width="11.42578125" style="29"/>
    <col min="5857" max="5857" width="44.42578125" style="29" customWidth="1"/>
    <col min="5858" max="5858" width="13" style="29" customWidth="1"/>
    <col min="5859" max="5864" width="2" style="29" customWidth="1"/>
    <col min="5865" max="5865" width="2.42578125" style="29" customWidth="1"/>
    <col min="5866" max="5866" width="3" style="29" customWidth="1"/>
    <col min="5867" max="5869" width="2" style="29" customWidth="1"/>
    <col min="5870" max="5870" width="2.85546875" style="29" customWidth="1"/>
    <col min="5871" max="5871" width="3" style="29" customWidth="1"/>
    <col min="5872" max="5872" width="2.7109375" style="29" customWidth="1"/>
    <col min="5873" max="5873" width="2.42578125" style="29" customWidth="1"/>
    <col min="5874" max="5874" width="3.28515625" style="29" customWidth="1"/>
    <col min="5875" max="5875" width="3.5703125" style="29" customWidth="1"/>
    <col min="5876" max="5876" width="4" style="29" customWidth="1"/>
    <col min="5877" max="5877" width="3.42578125" style="29" customWidth="1"/>
    <col min="5878" max="5878" width="3" style="29" customWidth="1"/>
    <col min="5879" max="6112" width="11.42578125" style="29"/>
    <col min="6113" max="6113" width="44.42578125" style="29" customWidth="1"/>
    <col min="6114" max="6114" width="13" style="29" customWidth="1"/>
    <col min="6115" max="6120" width="2" style="29" customWidth="1"/>
    <col min="6121" max="6121" width="2.42578125" style="29" customWidth="1"/>
    <col min="6122" max="6122" width="3" style="29" customWidth="1"/>
    <col min="6123" max="6125" width="2" style="29" customWidth="1"/>
    <col min="6126" max="6126" width="2.85546875" style="29" customWidth="1"/>
    <col min="6127" max="6127" width="3" style="29" customWidth="1"/>
    <col min="6128" max="6128" width="2.7109375" style="29" customWidth="1"/>
    <col min="6129" max="6129" width="2.42578125" style="29" customWidth="1"/>
    <col min="6130" max="6130" width="3.28515625" style="29" customWidth="1"/>
    <col min="6131" max="6131" width="3.5703125" style="29" customWidth="1"/>
    <col min="6132" max="6132" width="4" style="29" customWidth="1"/>
    <col min="6133" max="6133" width="3.42578125" style="29" customWidth="1"/>
    <col min="6134" max="6134" width="3" style="29" customWidth="1"/>
    <col min="6135" max="6368" width="11.42578125" style="29"/>
    <col min="6369" max="6369" width="44.42578125" style="29" customWidth="1"/>
    <col min="6370" max="6370" width="13" style="29" customWidth="1"/>
    <col min="6371" max="6376" width="2" style="29" customWidth="1"/>
    <col min="6377" max="6377" width="2.42578125" style="29" customWidth="1"/>
    <col min="6378" max="6378" width="3" style="29" customWidth="1"/>
    <col min="6379" max="6381" width="2" style="29" customWidth="1"/>
    <col min="6382" max="6382" width="2.85546875" style="29" customWidth="1"/>
    <col min="6383" max="6383" width="3" style="29" customWidth="1"/>
    <col min="6384" max="6384" width="2.7109375" style="29" customWidth="1"/>
    <col min="6385" max="6385" width="2.42578125" style="29" customWidth="1"/>
    <col min="6386" max="6386" width="3.28515625" style="29" customWidth="1"/>
    <col min="6387" max="6387" width="3.5703125" style="29" customWidth="1"/>
    <col min="6388" max="6388" width="4" style="29" customWidth="1"/>
    <col min="6389" max="6389" width="3.42578125" style="29" customWidth="1"/>
    <col min="6390" max="6390" width="3" style="29" customWidth="1"/>
    <col min="6391" max="6624" width="11.42578125" style="29"/>
    <col min="6625" max="6625" width="44.42578125" style="29" customWidth="1"/>
    <col min="6626" max="6626" width="13" style="29" customWidth="1"/>
    <col min="6627" max="6632" width="2" style="29" customWidth="1"/>
    <col min="6633" max="6633" width="2.42578125" style="29" customWidth="1"/>
    <col min="6634" max="6634" width="3" style="29" customWidth="1"/>
    <col min="6635" max="6637" width="2" style="29" customWidth="1"/>
    <col min="6638" max="6638" width="2.85546875" style="29" customWidth="1"/>
    <col min="6639" max="6639" width="3" style="29" customWidth="1"/>
    <col min="6640" max="6640" width="2.7109375" style="29" customWidth="1"/>
    <col min="6641" max="6641" width="2.42578125" style="29" customWidth="1"/>
    <col min="6642" max="6642" width="3.28515625" style="29" customWidth="1"/>
    <col min="6643" max="6643" width="3.5703125" style="29" customWidth="1"/>
    <col min="6644" max="6644" width="4" style="29" customWidth="1"/>
    <col min="6645" max="6645" width="3.42578125" style="29" customWidth="1"/>
    <col min="6646" max="6646" width="3" style="29" customWidth="1"/>
    <col min="6647" max="6880" width="11.42578125" style="29"/>
    <col min="6881" max="6881" width="44.42578125" style="29" customWidth="1"/>
    <col min="6882" max="6882" width="13" style="29" customWidth="1"/>
    <col min="6883" max="6888" width="2" style="29" customWidth="1"/>
    <col min="6889" max="6889" width="2.42578125" style="29" customWidth="1"/>
    <col min="6890" max="6890" width="3" style="29" customWidth="1"/>
    <col min="6891" max="6893" width="2" style="29" customWidth="1"/>
    <col min="6894" max="6894" width="2.85546875" style="29" customWidth="1"/>
    <col min="6895" max="6895" width="3" style="29" customWidth="1"/>
    <col min="6896" max="6896" width="2.7109375" style="29" customWidth="1"/>
    <col min="6897" max="6897" width="2.42578125" style="29" customWidth="1"/>
    <col min="6898" max="6898" width="3.28515625" style="29" customWidth="1"/>
    <col min="6899" max="6899" width="3.5703125" style="29" customWidth="1"/>
    <col min="6900" max="6900" width="4" style="29" customWidth="1"/>
    <col min="6901" max="6901" width="3.42578125" style="29" customWidth="1"/>
    <col min="6902" max="6902" width="3" style="29" customWidth="1"/>
    <col min="6903" max="7136" width="11.42578125" style="29"/>
    <col min="7137" max="7137" width="44.42578125" style="29" customWidth="1"/>
    <col min="7138" max="7138" width="13" style="29" customWidth="1"/>
    <col min="7139" max="7144" width="2" style="29" customWidth="1"/>
    <col min="7145" max="7145" width="2.42578125" style="29" customWidth="1"/>
    <col min="7146" max="7146" width="3" style="29" customWidth="1"/>
    <col min="7147" max="7149" width="2" style="29" customWidth="1"/>
    <col min="7150" max="7150" width="2.85546875" style="29" customWidth="1"/>
    <col min="7151" max="7151" width="3" style="29" customWidth="1"/>
    <col min="7152" max="7152" width="2.7109375" style="29" customWidth="1"/>
    <col min="7153" max="7153" width="2.42578125" style="29" customWidth="1"/>
    <col min="7154" max="7154" width="3.28515625" style="29" customWidth="1"/>
    <col min="7155" max="7155" width="3.5703125" style="29" customWidth="1"/>
    <col min="7156" max="7156" width="4" style="29" customWidth="1"/>
    <col min="7157" max="7157" width="3.42578125" style="29" customWidth="1"/>
    <col min="7158" max="7158" width="3" style="29" customWidth="1"/>
    <col min="7159" max="7392" width="11.42578125" style="29"/>
    <col min="7393" max="7393" width="44.42578125" style="29" customWidth="1"/>
    <col min="7394" max="7394" width="13" style="29" customWidth="1"/>
    <col min="7395" max="7400" width="2" style="29" customWidth="1"/>
    <col min="7401" max="7401" width="2.42578125" style="29" customWidth="1"/>
    <col min="7402" max="7402" width="3" style="29" customWidth="1"/>
    <col min="7403" max="7405" width="2" style="29" customWidth="1"/>
    <col min="7406" max="7406" width="2.85546875" style="29" customWidth="1"/>
    <col min="7407" max="7407" width="3" style="29" customWidth="1"/>
    <col min="7408" max="7408" width="2.7109375" style="29" customWidth="1"/>
    <col min="7409" max="7409" width="2.42578125" style="29" customWidth="1"/>
    <col min="7410" max="7410" width="3.28515625" style="29" customWidth="1"/>
    <col min="7411" max="7411" width="3.5703125" style="29" customWidth="1"/>
    <col min="7412" max="7412" width="4" style="29" customWidth="1"/>
    <col min="7413" max="7413" width="3.42578125" style="29" customWidth="1"/>
    <col min="7414" max="7414" width="3" style="29" customWidth="1"/>
    <col min="7415" max="7648" width="11.42578125" style="29"/>
    <col min="7649" max="7649" width="44.42578125" style="29" customWidth="1"/>
    <col min="7650" max="7650" width="13" style="29" customWidth="1"/>
    <col min="7651" max="7656" width="2" style="29" customWidth="1"/>
    <col min="7657" max="7657" width="2.42578125" style="29" customWidth="1"/>
    <col min="7658" max="7658" width="3" style="29" customWidth="1"/>
    <col min="7659" max="7661" width="2" style="29" customWidth="1"/>
    <col min="7662" max="7662" width="2.85546875" style="29" customWidth="1"/>
    <col min="7663" max="7663" width="3" style="29" customWidth="1"/>
    <col min="7664" max="7664" width="2.7109375" style="29" customWidth="1"/>
    <col min="7665" max="7665" width="2.42578125" style="29" customWidth="1"/>
    <col min="7666" max="7666" width="3.28515625" style="29" customWidth="1"/>
    <col min="7667" max="7667" width="3.5703125" style="29" customWidth="1"/>
    <col min="7668" max="7668" width="4" style="29" customWidth="1"/>
    <col min="7669" max="7669" width="3.42578125" style="29" customWidth="1"/>
    <col min="7670" max="7670" width="3" style="29" customWidth="1"/>
    <col min="7671" max="7904" width="11.42578125" style="29"/>
    <col min="7905" max="7905" width="44.42578125" style="29" customWidth="1"/>
    <col min="7906" max="7906" width="13" style="29" customWidth="1"/>
    <col min="7907" max="7912" width="2" style="29" customWidth="1"/>
    <col min="7913" max="7913" width="2.42578125" style="29" customWidth="1"/>
    <col min="7914" max="7914" width="3" style="29" customWidth="1"/>
    <col min="7915" max="7917" width="2" style="29" customWidth="1"/>
    <col min="7918" max="7918" width="2.85546875" style="29" customWidth="1"/>
    <col min="7919" max="7919" width="3" style="29" customWidth="1"/>
    <col min="7920" max="7920" width="2.7109375" style="29" customWidth="1"/>
    <col min="7921" max="7921" width="2.42578125" style="29" customWidth="1"/>
    <col min="7922" max="7922" width="3.28515625" style="29" customWidth="1"/>
    <col min="7923" max="7923" width="3.5703125" style="29" customWidth="1"/>
    <col min="7924" max="7924" width="4" style="29" customWidth="1"/>
    <col min="7925" max="7925" width="3.42578125" style="29" customWidth="1"/>
    <col min="7926" max="7926" width="3" style="29" customWidth="1"/>
    <col min="7927" max="8160" width="11.42578125" style="29"/>
    <col min="8161" max="8161" width="44.42578125" style="29" customWidth="1"/>
    <col min="8162" max="8162" width="13" style="29" customWidth="1"/>
    <col min="8163" max="8168" width="2" style="29" customWidth="1"/>
    <col min="8169" max="8169" width="2.42578125" style="29" customWidth="1"/>
    <col min="8170" max="8170" width="3" style="29" customWidth="1"/>
    <col min="8171" max="8173" width="2" style="29" customWidth="1"/>
    <col min="8174" max="8174" width="2.85546875" style="29" customWidth="1"/>
    <col min="8175" max="8175" width="3" style="29" customWidth="1"/>
    <col min="8176" max="8176" width="2.7109375" style="29" customWidth="1"/>
    <col min="8177" max="8177" width="2.42578125" style="29" customWidth="1"/>
    <col min="8178" max="8178" width="3.28515625" style="29" customWidth="1"/>
    <col min="8179" max="8179" width="3.5703125" style="29" customWidth="1"/>
    <col min="8180" max="8180" width="4" style="29" customWidth="1"/>
    <col min="8181" max="8181" width="3.42578125" style="29" customWidth="1"/>
    <col min="8182" max="8182" width="3" style="29" customWidth="1"/>
    <col min="8183" max="8416" width="11.42578125" style="29"/>
    <col min="8417" max="8417" width="44.42578125" style="29" customWidth="1"/>
    <col min="8418" max="8418" width="13" style="29" customWidth="1"/>
    <col min="8419" max="8424" width="2" style="29" customWidth="1"/>
    <col min="8425" max="8425" width="2.42578125" style="29" customWidth="1"/>
    <col min="8426" max="8426" width="3" style="29" customWidth="1"/>
    <col min="8427" max="8429" width="2" style="29" customWidth="1"/>
    <col min="8430" max="8430" width="2.85546875" style="29" customWidth="1"/>
    <col min="8431" max="8431" width="3" style="29" customWidth="1"/>
    <col min="8432" max="8432" width="2.7109375" style="29" customWidth="1"/>
    <col min="8433" max="8433" width="2.42578125" style="29" customWidth="1"/>
    <col min="8434" max="8434" width="3.28515625" style="29" customWidth="1"/>
    <col min="8435" max="8435" width="3.5703125" style="29" customWidth="1"/>
    <col min="8436" max="8436" width="4" style="29" customWidth="1"/>
    <col min="8437" max="8437" width="3.42578125" style="29" customWidth="1"/>
    <col min="8438" max="8438" width="3" style="29" customWidth="1"/>
    <col min="8439" max="8672" width="11.42578125" style="29"/>
    <col min="8673" max="8673" width="44.42578125" style="29" customWidth="1"/>
    <col min="8674" max="8674" width="13" style="29" customWidth="1"/>
    <col min="8675" max="8680" width="2" style="29" customWidth="1"/>
    <col min="8681" max="8681" width="2.42578125" style="29" customWidth="1"/>
    <col min="8682" max="8682" width="3" style="29" customWidth="1"/>
    <col min="8683" max="8685" width="2" style="29" customWidth="1"/>
    <col min="8686" max="8686" width="2.85546875" style="29" customWidth="1"/>
    <col min="8687" max="8687" width="3" style="29" customWidth="1"/>
    <col min="8688" max="8688" width="2.7109375" style="29" customWidth="1"/>
    <col min="8689" max="8689" width="2.42578125" style="29" customWidth="1"/>
    <col min="8690" max="8690" width="3.28515625" style="29" customWidth="1"/>
    <col min="8691" max="8691" width="3.5703125" style="29" customWidth="1"/>
    <col min="8692" max="8692" width="4" style="29" customWidth="1"/>
    <col min="8693" max="8693" width="3.42578125" style="29" customWidth="1"/>
    <col min="8694" max="8694" width="3" style="29" customWidth="1"/>
    <col min="8695" max="8928" width="11.42578125" style="29"/>
    <col min="8929" max="8929" width="44.42578125" style="29" customWidth="1"/>
    <col min="8930" max="8930" width="13" style="29" customWidth="1"/>
    <col min="8931" max="8936" width="2" style="29" customWidth="1"/>
    <col min="8937" max="8937" width="2.42578125" style="29" customWidth="1"/>
    <col min="8938" max="8938" width="3" style="29" customWidth="1"/>
    <col min="8939" max="8941" width="2" style="29" customWidth="1"/>
    <col min="8942" max="8942" width="2.85546875" style="29" customWidth="1"/>
    <col min="8943" max="8943" width="3" style="29" customWidth="1"/>
    <col min="8944" max="8944" width="2.7109375" style="29" customWidth="1"/>
    <col min="8945" max="8945" width="2.42578125" style="29" customWidth="1"/>
    <col min="8946" max="8946" width="3.28515625" style="29" customWidth="1"/>
    <col min="8947" max="8947" width="3.5703125" style="29" customWidth="1"/>
    <col min="8948" max="8948" width="4" style="29" customWidth="1"/>
    <col min="8949" max="8949" width="3.42578125" style="29" customWidth="1"/>
    <col min="8950" max="8950" width="3" style="29" customWidth="1"/>
    <col min="8951" max="9184" width="11.42578125" style="29"/>
    <col min="9185" max="9185" width="44.42578125" style="29" customWidth="1"/>
    <col min="9186" max="9186" width="13" style="29" customWidth="1"/>
    <col min="9187" max="9192" width="2" style="29" customWidth="1"/>
    <col min="9193" max="9193" width="2.42578125" style="29" customWidth="1"/>
    <col min="9194" max="9194" width="3" style="29" customWidth="1"/>
    <col min="9195" max="9197" width="2" style="29" customWidth="1"/>
    <col min="9198" max="9198" width="2.85546875" style="29" customWidth="1"/>
    <col min="9199" max="9199" width="3" style="29" customWidth="1"/>
    <col min="9200" max="9200" width="2.7109375" style="29" customWidth="1"/>
    <col min="9201" max="9201" width="2.42578125" style="29" customWidth="1"/>
    <col min="9202" max="9202" width="3.28515625" style="29" customWidth="1"/>
    <col min="9203" max="9203" width="3.5703125" style="29" customWidth="1"/>
    <col min="9204" max="9204" width="4" style="29" customWidth="1"/>
    <col min="9205" max="9205" width="3.42578125" style="29" customWidth="1"/>
    <col min="9206" max="9206" width="3" style="29" customWidth="1"/>
    <col min="9207" max="9440" width="11.42578125" style="29"/>
    <col min="9441" max="9441" width="44.42578125" style="29" customWidth="1"/>
    <col min="9442" max="9442" width="13" style="29" customWidth="1"/>
    <col min="9443" max="9448" width="2" style="29" customWidth="1"/>
    <col min="9449" max="9449" width="2.42578125" style="29" customWidth="1"/>
    <col min="9450" max="9450" width="3" style="29" customWidth="1"/>
    <col min="9451" max="9453" width="2" style="29" customWidth="1"/>
    <col min="9454" max="9454" width="2.85546875" style="29" customWidth="1"/>
    <col min="9455" max="9455" width="3" style="29" customWidth="1"/>
    <col min="9456" max="9456" width="2.7109375" style="29" customWidth="1"/>
    <col min="9457" max="9457" width="2.42578125" style="29" customWidth="1"/>
    <col min="9458" max="9458" width="3.28515625" style="29" customWidth="1"/>
    <col min="9459" max="9459" width="3.5703125" style="29" customWidth="1"/>
    <col min="9460" max="9460" width="4" style="29" customWidth="1"/>
    <col min="9461" max="9461" width="3.42578125" style="29" customWidth="1"/>
    <col min="9462" max="9462" width="3" style="29" customWidth="1"/>
    <col min="9463" max="9696" width="11.42578125" style="29"/>
    <col min="9697" max="9697" width="44.42578125" style="29" customWidth="1"/>
    <col min="9698" max="9698" width="13" style="29" customWidth="1"/>
    <col min="9699" max="9704" width="2" style="29" customWidth="1"/>
    <col min="9705" max="9705" width="2.42578125" style="29" customWidth="1"/>
    <col min="9706" max="9706" width="3" style="29" customWidth="1"/>
    <col min="9707" max="9709" width="2" style="29" customWidth="1"/>
    <col min="9710" max="9710" width="2.85546875" style="29" customWidth="1"/>
    <col min="9711" max="9711" width="3" style="29" customWidth="1"/>
    <col min="9712" max="9712" width="2.7109375" style="29" customWidth="1"/>
    <col min="9713" max="9713" width="2.42578125" style="29" customWidth="1"/>
    <col min="9714" max="9714" width="3.28515625" style="29" customWidth="1"/>
    <col min="9715" max="9715" width="3.5703125" style="29" customWidth="1"/>
    <col min="9716" max="9716" width="4" style="29" customWidth="1"/>
    <col min="9717" max="9717" width="3.42578125" style="29" customWidth="1"/>
    <col min="9718" max="9718" width="3" style="29" customWidth="1"/>
    <col min="9719" max="9952" width="11.42578125" style="29"/>
    <col min="9953" max="9953" width="44.42578125" style="29" customWidth="1"/>
    <col min="9954" max="9954" width="13" style="29" customWidth="1"/>
    <col min="9955" max="9960" width="2" style="29" customWidth="1"/>
    <col min="9961" max="9961" width="2.42578125" style="29" customWidth="1"/>
    <col min="9962" max="9962" width="3" style="29" customWidth="1"/>
    <col min="9963" max="9965" width="2" style="29" customWidth="1"/>
    <col min="9966" max="9966" width="2.85546875" style="29" customWidth="1"/>
    <col min="9967" max="9967" width="3" style="29" customWidth="1"/>
    <col min="9968" max="9968" width="2.7109375" style="29" customWidth="1"/>
    <col min="9969" max="9969" width="2.42578125" style="29" customWidth="1"/>
    <col min="9970" max="9970" width="3.28515625" style="29" customWidth="1"/>
    <col min="9971" max="9971" width="3.5703125" style="29" customWidth="1"/>
    <col min="9972" max="9972" width="4" style="29" customWidth="1"/>
    <col min="9973" max="9973" width="3.42578125" style="29" customWidth="1"/>
    <col min="9974" max="9974" width="3" style="29" customWidth="1"/>
    <col min="9975" max="10208" width="11.42578125" style="29"/>
    <col min="10209" max="10209" width="44.42578125" style="29" customWidth="1"/>
    <col min="10210" max="10210" width="13" style="29" customWidth="1"/>
    <col min="10211" max="10216" width="2" style="29" customWidth="1"/>
    <col min="10217" max="10217" width="2.42578125" style="29" customWidth="1"/>
    <col min="10218" max="10218" width="3" style="29" customWidth="1"/>
    <col min="10219" max="10221" width="2" style="29" customWidth="1"/>
    <col min="10222" max="10222" width="2.85546875" style="29" customWidth="1"/>
    <col min="10223" max="10223" width="3" style="29" customWidth="1"/>
    <col min="10224" max="10224" width="2.7109375" style="29" customWidth="1"/>
    <col min="10225" max="10225" width="2.42578125" style="29" customWidth="1"/>
    <col min="10226" max="10226" width="3.28515625" style="29" customWidth="1"/>
    <col min="10227" max="10227" width="3.5703125" style="29" customWidth="1"/>
    <col min="10228" max="10228" width="4" style="29" customWidth="1"/>
    <col min="10229" max="10229" width="3.42578125" style="29" customWidth="1"/>
    <col min="10230" max="10230" width="3" style="29" customWidth="1"/>
    <col min="10231" max="10464" width="11.42578125" style="29"/>
    <col min="10465" max="10465" width="44.42578125" style="29" customWidth="1"/>
    <col min="10466" max="10466" width="13" style="29" customWidth="1"/>
    <col min="10467" max="10472" width="2" style="29" customWidth="1"/>
    <col min="10473" max="10473" width="2.42578125" style="29" customWidth="1"/>
    <col min="10474" max="10474" width="3" style="29" customWidth="1"/>
    <col min="10475" max="10477" width="2" style="29" customWidth="1"/>
    <col min="10478" max="10478" width="2.85546875" style="29" customWidth="1"/>
    <col min="10479" max="10479" width="3" style="29" customWidth="1"/>
    <col min="10480" max="10480" width="2.7109375" style="29" customWidth="1"/>
    <col min="10481" max="10481" width="2.42578125" style="29" customWidth="1"/>
    <col min="10482" max="10482" width="3.28515625" style="29" customWidth="1"/>
    <col min="10483" max="10483" width="3.5703125" style="29" customWidth="1"/>
    <col min="10484" max="10484" width="4" style="29" customWidth="1"/>
    <col min="10485" max="10485" width="3.42578125" style="29" customWidth="1"/>
    <col min="10486" max="10486" width="3" style="29" customWidth="1"/>
    <col min="10487" max="10720" width="11.42578125" style="29"/>
    <col min="10721" max="10721" width="44.42578125" style="29" customWidth="1"/>
    <col min="10722" max="10722" width="13" style="29" customWidth="1"/>
    <col min="10723" max="10728" width="2" style="29" customWidth="1"/>
    <col min="10729" max="10729" width="2.42578125" style="29" customWidth="1"/>
    <col min="10730" max="10730" width="3" style="29" customWidth="1"/>
    <col min="10731" max="10733" width="2" style="29" customWidth="1"/>
    <col min="10734" max="10734" width="2.85546875" style="29" customWidth="1"/>
    <col min="10735" max="10735" width="3" style="29" customWidth="1"/>
    <col min="10736" max="10736" width="2.7109375" style="29" customWidth="1"/>
    <col min="10737" max="10737" width="2.42578125" style="29" customWidth="1"/>
    <col min="10738" max="10738" width="3.28515625" style="29" customWidth="1"/>
    <col min="10739" max="10739" width="3.5703125" style="29" customWidth="1"/>
    <col min="10740" max="10740" width="4" style="29" customWidth="1"/>
    <col min="10741" max="10741" width="3.42578125" style="29" customWidth="1"/>
    <col min="10742" max="10742" width="3" style="29" customWidth="1"/>
    <col min="10743" max="10976" width="11.42578125" style="29"/>
    <col min="10977" max="10977" width="44.42578125" style="29" customWidth="1"/>
    <col min="10978" max="10978" width="13" style="29" customWidth="1"/>
    <col min="10979" max="10984" width="2" style="29" customWidth="1"/>
    <col min="10985" max="10985" width="2.42578125" style="29" customWidth="1"/>
    <col min="10986" max="10986" width="3" style="29" customWidth="1"/>
    <col min="10987" max="10989" width="2" style="29" customWidth="1"/>
    <col min="10990" max="10990" width="2.85546875" style="29" customWidth="1"/>
    <col min="10991" max="10991" width="3" style="29" customWidth="1"/>
    <col min="10992" max="10992" width="2.7109375" style="29" customWidth="1"/>
    <col min="10993" max="10993" width="2.42578125" style="29" customWidth="1"/>
    <col min="10994" max="10994" width="3.28515625" style="29" customWidth="1"/>
    <col min="10995" max="10995" width="3.5703125" style="29" customWidth="1"/>
    <col min="10996" max="10996" width="4" style="29" customWidth="1"/>
    <col min="10997" max="10997" width="3.42578125" style="29" customWidth="1"/>
    <col min="10998" max="10998" width="3" style="29" customWidth="1"/>
    <col min="10999" max="11232" width="11.42578125" style="29"/>
    <col min="11233" max="11233" width="44.42578125" style="29" customWidth="1"/>
    <col min="11234" max="11234" width="13" style="29" customWidth="1"/>
    <col min="11235" max="11240" width="2" style="29" customWidth="1"/>
    <col min="11241" max="11241" width="2.42578125" style="29" customWidth="1"/>
    <col min="11242" max="11242" width="3" style="29" customWidth="1"/>
    <col min="11243" max="11245" width="2" style="29" customWidth="1"/>
    <col min="11246" max="11246" width="2.85546875" style="29" customWidth="1"/>
    <col min="11247" max="11247" width="3" style="29" customWidth="1"/>
    <col min="11248" max="11248" width="2.7109375" style="29" customWidth="1"/>
    <col min="11249" max="11249" width="2.42578125" style="29" customWidth="1"/>
    <col min="11250" max="11250" width="3.28515625" style="29" customWidth="1"/>
    <col min="11251" max="11251" width="3.5703125" style="29" customWidth="1"/>
    <col min="11252" max="11252" width="4" style="29" customWidth="1"/>
    <col min="11253" max="11253" width="3.42578125" style="29" customWidth="1"/>
    <col min="11254" max="11254" width="3" style="29" customWidth="1"/>
    <col min="11255" max="11488" width="11.42578125" style="29"/>
    <col min="11489" max="11489" width="44.42578125" style="29" customWidth="1"/>
    <col min="11490" max="11490" width="13" style="29" customWidth="1"/>
    <col min="11491" max="11496" width="2" style="29" customWidth="1"/>
    <col min="11497" max="11497" width="2.42578125" style="29" customWidth="1"/>
    <col min="11498" max="11498" width="3" style="29" customWidth="1"/>
    <col min="11499" max="11501" width="2" style="29" customWidth="1"/>
    <col min="11502" max="11502" width="2.85546875" style="29" customWidth="1"/>
    <col min="11503" max="11503" width="3" style="29" customWidth="1"/>
    <col min="11504" max="11504" width="2.7109375" style="29" customWidth="1"/>
    <col min="11505" max="11505" width="2.42578125" style="29" customWidth="1"/>
    <col min="11506" max="11506" width="3.28515625" style="29" customWidth="1"/>
    <col min="11507" max="11507" width="3.5703125" style="29" customWidth="1"/>
    <col min="11508" max="11508" width="4" style="29" customWidth="1"/>
    <col min="11509" max="11509" width="3.42578125" style="29" customWidth="1"/>
    <col min="11510" max="11510" width="3" style="29" customWidth="1"/>
    <col min="11511" max="11744" width="11.42578125" style="29"/>
    <col min="11745" max="11745" width="44.42578125" style="29" customWidth="1"/>
    <col min="11746" max="11746" width="13" style="29" customWidth="1"/>
    <col min="11747" max="11752" width="2" style="29" customWidth="1"/>
    <col min="11753" max="11753" width="2.42578125" style="29" customWidth="1"/>
    <col min="11754" max="11754" width="3" style="29" customWidth="1"/>
    <col min="11755" max="11757" width="2" style="29" customWidth="1"/>
    <col min="11758" max="11758" width="2.85546875" style="29" customWidth="1"/>
    <col min="11759" max="11759" width="3" style="29" customWidth="1"/>
    <col min="11760" max="11760" width="2.7109375" style="29" customWidth="1"/>
    <col min="11761" max="11761" width="2.42578125" style="29" customWidth="1"/>
    <col min="11762" max="11762" width="3.28515625" style="29" customWidth="1"/>
    <col min="11763" max="11763" width="3.5703125" style="29" customWidth="1"/>
    <col min="11764" max="11764" width="4" style="29" customWidth="1"/>
    <col min="11765" max="11765" width="3.42578125" style="29" customWidth="1"/>
    <col min="11766" max="11766" width="3" style="29" customWidth="1"/>
    <col min="11767" max="12000" width="11.42578125" style="29"/>
    <col min="12001" max="12001" width="44.42578125" style="29" customWidth="1"/>
    <col min="12002" max="12002" width="13" style="29" customWidth="1"/>
    <col min="12003" max="12008" width="2" style="29" customWidth="1"/>
    <col min="12009" max="12009" width="2.42578125" style="29" customWidth="1"/>
    <col min="12010" max="12010" width="3" style="29" customWidth="1"/>
    <col min="12011" max="12013" width="2" style="29" customWidth="1"/>
    <col min="12014" max="12014" width="2.85546875" style="29" customWidth="1"/>
    <col min="12015" max="12015" width="3" style="29" customWidth="1"/>
    <col min="12016" max="12016" width="2.7109375" style="29" customWidth="1"/>
    <col min="12017" max="12017" width="2.42578125" style="29" customWidth="1"/>
    <col min="12018" max="12018" width="3.28515625" style="29" customWidth="1"/>
    <col min="12019" max="12019" width="3.5703125" style="29" customWidth="1"/>
    <col min="12020" max="12020" width="4" style="29" customWidth="1"/>
    <col min="12021" max="12021" width="3.42578125" style="29" customWidth="1"/>
    <col min="12022" max="12022" width="3" style="29" customWidth="1"/>
    <col min="12023" max="12256" width="11.42578125" style="29"/>
    <col min="12257" max="12257" width="44.42578125" style="29" customWidth="1"/>
    <col min="12258" max="12258" width="13" style="29" customWidth="1"/>
    <col min="12259" max="12264" width="2" style="29" customWidth="1"/>
    <col min="12265" max="12265" width="2.42578125" style="29" customWidth="1"/>
    <col min="12266" max="12266" width="3" style="29" customWidth="1"/>
    <col min="12267" max="12269" width="2" style="29" customWidth="1"/>
    <col min="12270" max="12270" width="2.85546875" style="29" customWidth="1"/>
    <col min="12271" max="12271" width="3" style="29" customWidth="1"/>
    <col min="12272" max="12272" width="2.7109375" style="29" customWidth="1"/>
    <col min="12273" max="12273" width="2.42578125" style="29" customWidth="1"/>
    <col min="12274" max="12274" width="3.28515625" style="29" customWidth="1"/>
    <col min="12275" max="12275" width="3.5703125" style="29" customWidth="1"/>
    <col min="12276" max="12276" width="4" style="29" customWidth="1"/>
    <col min="12277" max="12277" width="3.42578125" style="29" customWidth="1"/>
    <col min="12278" max="12278" width="3" style="29" customWidth="1"/>
    <col min="12279" max="12512" width="11.42578125" style="29"/>
    <col min="12513" max="12513" width="44.42578125" style="29" customWidth="1"/>
    <col min="12514" max="12514" width="13" style="29" customWidth="1"/>
    <col min="12515" max="12520" width="2" style="29" customWidth="1"/>
    <col min="12521" max="12521" width="2.42578125" style="29" customWidth="1"/>
    <col min="12522" max="12522" width="3" style="29" customWidth="1"/>
    <col min="12523" max="12525" width="2" style="29" customWidth="1"/>
    <col min="12526" max="12526" width="2.85546875" style="29" customWidth="1"/>
    <col min="12527" max="12527" width="3" style="29" customWidth="1"/>
    <col min="12528" max="12528" width="2.7109375" style="29" customWidth="1"/>
    <col min="12529" max="12529" width="2.42578125" style="29" customWidth="1"/>
    <col min="12530" max="12530" width="3.28515625" style="29" customWidth="1"/>
    <col min="12531" max="12531" width="3.5703125" style="29" customWidth="1"/>
    <col min="12532" max="12532" width="4" style="29" customWidth="1"/>
    <col min="12533" max="12533" width="3.42578125" style="29" customWidth="1"/>
    <col min="12534" max="12534" width="3" style="29" customWidth="1"/>
    <col min="12535" max="12768" width="11.42578125" style="29"/>
    <col min="12769" max="12769" width="44.42578125" style="29" customWidth="1"/>
    <col min="12770" max="12770" width="13" style="29" customWidth="1"/>
    <col min="12771" max="12776" width="2" style="29" customWidth="1"/>
    <col min="12777" max="12777" width="2.42578125" style="29" customWidth="1"/>
    <col min="12778" max="12778" width="3" style="29" customWidth="1"/>
    <col min="12779" max="12781" width="2" style="29" customWidth="1"/>
    <col min="12782" max="12782" width="2.85546875" style="29" customWidth="1"/>
    <col min="12783" max="12783" width="3" style="29" customWidth="1"/>
    <col min="12784" max="12784" width="2.7109375" style="29" customWidth="1"/>
    <col min="12785" max="12785" width="2.42578125" style="29" customWidth="1"/>
    <col min="12786" max="12786" width="3.28515625" style="29" customWidth="1"/>
    <col min="12787" max="12787" width="3.5703125" style="29" customWidth="1"/>
    <col min="12788" max="12788" width="4" style="29" customWidth="1"/>
    <col min="12789" max="12789" width="3.42578125" style="29" customWidth="1"/>
    <col min="12790" max="12790" width="3" style="29" customWidth="1"/>
    <col min="12791" max="13024" width="11.42578125" style="29"/>
    <col min="13025" max="13025" width="44.42578125" style="29" customWidth="1"/>
    <col min="13026" max="13026" width="13" style="29" customWidth="1"/>
    <col min="13027" max="13032" width="2" style="29" customWidth="1"/>
    <col min="13033" max="13033" width="2.42578125" style="29" customWidth="1"/>
    <col min="13034" max="13034" width="3" style="29" customWidth="1"/>
    <col min="13035" max="13037" width="2" style="29" customWidth="1"/>
    <col min="13038" max="13038" width="2.85546875" style="29" customWidth="1"/>
    <col min="13039" max="13039" width="3" style="29" customWidth="1"/>
    <col min="13040" max="13040" width="2.7109375" style="29" customWidth="1"/>
    <col min="13041" max="13041" width="2.42578125" style="29" customWidth="1"/>
    <col min="13042" max="13042" width="3.28515625" style="29" customWidth="1"/>
    <col min="13043" max="13043" width="3.5703125" style="29" customWidth="1"/>
    <col min="13044" max="13044" width="4" style="29" customWidth="1"/>
    <col min="13045" max="13045" width="3.42578125" style="29" customWidth="1"/>
    <col min="13046" max="13046" width="3" style="29" customWidth="1"/>
    <col min="13047" max="13280" width="11.42578125" style="29"/>
    <col min="13281" max="13281" width="44.42578125" style="29" customWidth="1"/>
    <col min="13282" max="13282" width="13" style="29" customWidth="1"/>
    <col min="13283" max="13288" width="2" style="29" customWidth="1"/>
    <col min="13289" max="13289" width="2.42578125" style="29" customWidth="1"/>
    <col min="13290" max="13290" width="3" style="29" customWidth="1"/>
    <col min="13291" max="13293" width="2" style="29" customWidth="1"/>
    <col min="13294" max="13294" width="2.85546875" style="29" customWidth="1"/>
    <col min="13295" max="13295" width="3" style="29" customWidth="1"/>
    <col min="13296" max="13296" width="2.7109375" style="29" customWidth="1"/>
    <col min="13297" max="13297" width="2.42578125" style="29" customWidth="1"/>
    <col min="13298" max="13298" width="3.28515625" style="29" customWidth="1"/>
    <col min="13299" max="13299" width="3.5703125" style="29" customWidth="1"/>
    <col min="13300" max="13300" width="4" style="29" customWidth="1"/>
    <col min="13301" max="13301" width="3.42578125" style="29" customWidth="1"/>
    <col min="13302" max="13302" width="3" style="29" customWidth="1"/>
    <col min="13303" max="13536" width="11.42578125" style="29"/>
    <col min="13537" max="13537" width="44.42578125" style="29" customWidth="1"/>
    <col min="13538" max="13538" width="13" style="29" customWidth="1"/>
    <col min="13539" max="13544" width="2" style="29" customWidth="1"/>
    <col min="13545" max="13545" width="2.42578125" style="29" customWidth="1"/>
    <col min="13546" max="13546" width="3" style="29" customWidth="1"/>
    <col min="13547" max="13549" width="2" style="29" customWidth="1"/>
    <col min="13550" max="13550" width="2.85546875" style="29" customWidth="1"/>
    <col min="13551" max="13551" width="3" style="29" customWidth="1"/>
    <col min="13552" max="13552" width="2.7109375" style="29" customWidth="1"/>
    <col min="13553" max="13553" width="2.42578125" style="29" customWidth="1"/>
    <col min="13554" max="13554" width="3.28515625" style="29" customWidth="1"/>
    <col min="13555" max="13555" width="3.5703125" style="29" customWidth="1"/>
    <col min="13556" max="13556" width="4" style="29" customWidth="1"/>
    <col min="13557" max="13557" width="3.42578125" style="29" customWidth="1"/>
    <col min="13558" max="13558" width="3" style="29" customWidth="1"/>
    <col min="13559" max="13792" width="11.42578125" style="29"/>
    <col min="13793" max="13793" width="44.42578125" style="29" customWidth="1"/>
    <col min="13794" max="13794" width="13" style="29" customWidth="1"/>
    <col min="13795" max="13800" width="2" style="29" customWidth="1"/>
    <col min="13801" max="13801" width="2.42578125" style="29" customWidth="1"/>
    <col min="13802" max="13802" width="3" style="29" customWidth="1"/>
    <col min="13803" max="13805" width="2" style="29" customWidth="1"/>
    <col min="13806" max="13806" width="2.85546875" style="29" customWidth="1"/>
    <col min="13807" max="13807" width="3" style="29" customWidth="1"/>
    <col min="13808" max="13808" width="2.7109375" style="29" customWidth="1"/>
    <col min="13809" max="13809" width="2.42578125" style="29" customWidth="1"/>
    <col min="13810" max="13810" width="3.28515625" style="29" customWidth="1"/>
    <col min="13811" max="13811" width="3.5703125" style="29" customWidth="1"/>
    <col min="13812" max="13812" width="4" style="29" customWidth="1"/>
    <col min="13813" max="13813" width="3.42578125" style="29" customWidth="1"/>
    <col min="13814" max="13814" width="3" style="29" customWidth="1"/>
    <col min="13815" max="14048" width="11.42578125" style="29"/>
    <col min="14049" max="14049" width="44.42578125" style="29" customWidth="1"/>
    <col min="14050" max="14050" width="13" style="29" customWidth="1"/>
    <col min="14051" max="14056" width="2" style="29" customWidth="1"/>
    <col min="14057" max="14057" width="2.42578125" style="29" customWidth="1"/>
    <col min="14058" max="14058" width="3" style="29" customWidth="1"/>
    <col min="14059" max="14061" width="2" style="29" customWidth="1"/>
    <col min="14062" max="14062" width="2.85546875" style="29" customWidth="1"/>
    <col min="14063" max="14063" width="3" style="29" customWidth="1"/>
    <col min="14064" max="14064" width="2.7109375" style="29" customWidth="1"/>
    <col min="14065" max="14065" width="2.42578125" style="29" customWidth="1"/>
    <col min="14066" max="14066" width="3.28515625" style="29" customWidth="1"/>
    <col min="14067" max="14067" width="3.5703125" style="29" customWidth="1"/>
    <col min="14068" max="14068" width="4" style="29" customWidth="1"/>
    <col min="14069" max="14069" width="3.42578125" style="29" customWidth="1"/>
    <col min="14070" max="14070" width="3" style="29" customWidth="1"/>
    <col min="14071" max="14304" width="11.42578125" style="29"/>
    <col min="14305" max="14305" width="44.42578125" style="29" customWidth="1"/>
    <col min="14306" max="14306" width="13" style="29" customWidth="1"/>
    <col min="14307" max="14312" width="2" style="29" customWidth="1"/>
    <col min="14313" max="14313" width="2.42578125" style="29" customWidth="1"/>
    <col min="14314" max="14314" width="3" style="29" customWidth="1"/>
    <col min="14315" max="14317" width="2" style="29" customWidth="1"/>
    <col min="14318" max="14318" width="2.85546875" style="29" customWidth="1"/>
    <col min="14319" max="14319" width="3" style="29" customWidth="1"/>
    <col min="14320" max="14320" width="2.7109375" style="29" customWidth="1"/>
    <col min="14321" max="14321" width="2.42578125" style="29" customWidth="1"/>
    <col min="14322" max="14322" width="3.28515625" style="29" customWidth="1"/>
    <col min="14323" max="14323" width="3.5703125" style="29" customWidth="1"/>
    <col min="14324" max="14324" width="4" style="29" customWidth="1"/>
    <col min="14325" max="14325" width="3.42578125" style="29" customWidth="1"/>
    <col min="14326" max="14326" width="3" style="29" customWidth="1"/>
    <col min="14327" max="14560" width="11.42578125" style="29"/>
    <col min="14561" max="14561" width="44.42578125" style="29" customWidth="1"/>
    <col min="14562" max="14562" width="13" style="29" customWidth="1"/>
    <col min="14563" max="14568" width="2" style="29" customWidth="1"/>
    <col min="14569" max="14569" width="2.42578125" style="29" customWidth="1"/>
    <col min="14570" max="14570" width="3" style="29" customWidth="1"/>
    <col min="14571" max="14573" width="2" style="29" customWidth="1"/>
    <col min="14574" max="14574" width="2.85546875" style="29" customWidth="1"/>
    <col min="14575" max="14575" width="3" style="29" customWidth="1"/>
    <col min="14576" max="14576" width="2.7109375" style="29" customWidth="1"/>
    <col min="14577" max="14577" width="2.42578125" style="29" customWidth="1"/>
    <col min="14578" max="14578" width="3.28515625" style="29" customWidth="1"/>
    <col min="14579" max="14579" width="3.5703125" style="29" customWidth="1"/>
    <col min="14580" max="14580" width="4" style="29" customWidth="1"/>
    <col min="14581" max="14581" width="3.42578125" style="29" customWidth="1"/>
    <col min="14582" max="14582" width="3" style="29" customWidth="1"/>
    <col min="14583" max="14816" width="11.42578125" style="29"/>
    <col min="14817" max="14817" width="44.42578125" style="29" customWidth="1"/>
    <col min="14818" max="14818" width="13" style="29" customWidth="1"/>
    <col min="14819" max="14824" width="2" style="29" customWidth="1"/>
    <col min="14825" max="14825" width="2.42578125" style="29" customWidth="1"/>
    <col min="14826" max="14826" width="3" style="29" customWidth="1"/>
    <col min="14827" max="14829" width="2" style="29" customWidth="1"/>
    <col min="14830" max="14830" width="2.85546875" style="29" customWidth="1"/>
    <col min="14831" max="14831" width="3" style="29" customWidth="1"/>
    <col min="14832" max="14832" width="2.7109375" style="29" customWidth="1"/>
    <col min="14833" max="14833" width="2.42578125" style="29" customWidth="1"/>
    <col min="14834" max="14834" width="3.28515625" style="29" customWidth="1"/>
    <col min="14835" max="14835" width="3.5703125" style="29" customWidth="1"/>
    <col min="14836" max="14836" width="4" style="29" customWidth="1"/>
    <col min="14837" max="14837" width="3.42578125" style="29" customWidth="1"/>
    <col min="14838" max="14838" width="3" style="29" customWidth="1"/>
    <col min="14839" max="15072" width="11.42578125" style="29"/>
    <col min="15073" max="15073" width="44.42578125" style="29" customWidth="1"/>
    <col min="15074" max="15074" width="13" style="29" customWidth="1"/>
    <col min="15075" max="15080" width="2" style="29" customWidth="1"/>
    <col min="15081" max="15081" width="2.42578125" style="29" customWidth="1"/>
    <col min="15082" max="15082" width="3" style="29" customWidth="1"/>
    <col min="15083" max="15085" width="2" style="29" customWidth="1"/>
    <col min="15086" max="15086" width="2.85546875" style="29" customWidth="1"/>
    <col min="15087" max="15087" width="3" style="29" customWidth="1"/>
    <col min="15088" max="15088" width="2.7109375" style="29" customWidth="1"/>
    <col min="15089" max="15089" width="2.42578125" style="29" customWidth="1"/>
    <col min="15090" max="15090" width="3.28515625" style="29" customWidth="1"/>
    <col min="15091" max="15091" width="3.5703125" style="29" customWidth="1"/>
    <col min="15092" max="15092" width="4" style="29" customWidth="1"/>
    <col min="15093" max="15093" width="3.42578125" style="29" customWidth="1"/>
    <col min="15094" max="15094" width="3" style="29" customWidth="1"/>
    <col min="15095" max="15328" width="11.42578125" style="29"/>
    <col min="15329" max="15329" width="44.42578125" style="29" customWidth="1"/>
    <col min="15330" max="15330" width="13" style="29" customWidth="1"/>
    <col min="15331" max="15336" width="2" style="29" customWidth="1"/>
    <col min="15337" max="15337" width="2.42578125" style="29" customWidth="1"/>
    <col min="15338" max="15338" width="3" style="29" customWidth="1"/>
    <col min="15339" max="15341" width="2" style="29" customWidth="1"/>
    <col min="15342" max="15342" width="2.85546875" style="29" customWidth="1"/>
    <col min="15343" max="15343" width="3" style="29" customWidth="1"/>
    <col min="15344" max="15344" width="2.7109375" style="29" customWidth="1"/>
    <col min="15345" max="15345" width="2.42578125" style="29" customWidth="1"/>
    <col min="15346" max="15346" width="3.28515625" style="29" customWidth="1"/>
    <col min="15347" max="15347" width="3.5703125" style="29" customWidth="1"/>
    <col min="15348" max="15348" width="4" style="29" customWidth="1"/>
    <col min="15349" max="15349" width="3.42578125" style="29" customWidth="1"/>
    <col min="15350" max="15350" width="3" style="29" customWidth="1"/>
    <col min="15351" max="15584" width="11.42578125" style="29"/>
    <col min="15585" max="15585" width="44.42578125" style="29" customWidth="1"/>
    <col min="15586" max="15586" width="13" style="29" customWidth="1"/>
    <col min="15587" max="15592" width="2" style="29" customWidth="1"/>
    <col min="15593" max="15593" width="2.42578125" style="29" customWidth="1"/>
    <col min="15594" max="15594" width="3" style="29" customWidth="1"/>
    <col min="15595" max="15597" width="2" style="29" customWidth="1"/>
    <col min="15598" max="15598" width="2.85546875" style="29" customWidth="1"/>
    <col min="15599" max="15599" width="3" style="29" customWidth="1"/>
    <col min="15600" max="15600" width="2.7109375" style="29" customWidth="1"/>
    <col min="15601" max="15601" width="2.42578125" style="29" customWidth="1"/>
    <col min="15602" max="15602" width="3.28515625" style="29" customWidth="1"/>
    <col min="15603" max="15603" width="3.5703125" style="29" customWidth="1"/>
    <col min="15604" max="15604" width="4" style="29" customWidth="1"/>
    <col min="15605" max="15605" width="3.42578125" style="29" customWidth="1"/>
    <col min="15606" max="15606" width="3" style="29" customWidth="1"/>
    <col min="15607" max="15840" width="11.42578125" style="29"/>
    <col min="15841" max="15841" width="44.42578125" style="29" customWidth="1"/>
    <col min="15842" max="15842" width="13" style="29" customWidth="1"/>
    <col min="15843" max="15848" width="2" style="29" customWidth="1"/>
    <col min="15849" max="15849" width="2.42578125" style="29" customWidth="1"/>
    <col min="15850" max="15850" width="3" style="29" customWidth="1"/>
    <col min="15851" max="15853" width="2" style="29" customWidth="1"/>
    <col min="15854" max="15854" width="2.85546875" style="29" customWidth="1"/>
    <col min="15855" max="15855" width="3" style="29" customWidth="1"/>
    <col min="15856" max="15856" width="2.7109375" style="29" customWidth="1"/>
    <col min="15857" max="15857" width="2.42578125" style="29" customWidth="1"/>
    <col min="15858" max="15858" width="3.28515625" style="29" customWidth="1"/>
    <col min="15859" max="15859" width="3.5703125" style="29" customWidth="1"/>
    <col min="15860" max="15860" width="4" style="29" customWidth="1"/>
    <col min="15861" max="15861" width="3.42578125" style="29" customWidth="1"/>
    <col min="15862" max="15862" width="3" style="29" customWidth="1"/>
    <col min="15863" max="16096" width="11.42578125" style="29"/>
    <col min="16097" max="16097" width="44.42578125" style="29" customWidth="1"/>
    <col min="16098" max="16098" width="13" style="29" customWidth="1"/>
    <col min="16099" max="16104" width="2" style="29" customWidth="1"/>
    <col min="16105" max="16105" width="2.42578125" style="29" customWidth="1"/>
    <col min="16106" max="16106" width="3" style="29" customWidth="1"/>
    <col min="16107" max="16109" width="2" style="29" customWidth="1"/>
    <col min="16110" max="16110" width="2.85546875" style="29" customWidth="1"/>
    <col min="16111" max="16111" width="3" style="29" customWidth="1"/>
    <col min="16112" max="16112" width="2.7109375" style="29" customWidth="1"/>
    <col min="16113" max="16113" width="2.42578125" style="29" customWidth="1"/>
    <col min="16114" max="16114" width="3.28515625" style="29" customWidth="1"/>
    <col min="16115" max="16115" width="3.5703125" style="29" customWidth="1"/>
    <col min="16116" max="16116" width="4" style="29" customWidth="1"/>
    <col min="16117" max="16117" width="3.42578125" style="29" customWidth="1"/>
    <col min="16118" max="16118" width="3" style="29" customWidth="1"/>
    <col min="16119" max="16384" width="11.42578125" style="29"/>
  </cols>
  <sheetData>
    <row r="1" spans="1:10" x14ac:dyDescent="0.2">
      <c r="A1" s="143" t="s">
        <v>67</v>
      </c>
      <c r="B1" s="29"/>
      <c r="C1" s="29"/>
      <c r="F1" s="155"/>
      <c r="G1" s="155"/>
    </row>
    <row r="2" spans="1:10" x14ac:dyDescent="0.2">
      <c r="A2" s="143" t="s">
        <v>10</v>
      </c>
      <c r="B2" s="29"/>
      <c r="C2" s="29"/>
      <c r="F2" s="155"/>
      <c r="G2" s="155"/>
    </row>
    <row r="3" spans="1:10" x14ac:dyDescent="0.2">
      <c r="A3" s="143"/>
      <c r="B3" s="29"/>
      <c r="C3" s="29"/>
      <c r="F3" s="155"/>
      <c r="G3" s="155"/>
    </row>
    <row r="4" spans="1:10" x14ac:dyDescent="0.2">
      <c r="A4" s="143" t="s">
        <v>68</v>
      </c>
      <c r="B4" s="29"/>
      <c r="C4" s="29"/>
      <c r="F4" s="155"/>
      <c r="G4" s="155"/>
      <c r="J4" s="144"/>
    </row>
    <row r="5" spans="1:10" x14ac:dyDescent="0.2">
      <c r="A5" s="143"/>
      <c r="B5" s="29"/>
      <c r="C5" s="29"/>
      <c r="F5" s="155"/>
      <c r="G5" s="155"/>
    </row>
    <row r="6" spans="1:10" x14ac:dyDescent="0.2">
      <c r="A6" s="143" t="s">
        <v>11</v>
      </c>
      <c r="B6" s="29"/>
      <c r="C6" s="29"/>
      <c r="F6" s="155"/>
      <c r="G6" s="155"/>
    </row>
    <row r="7" spans="1:10" ht="25.5" x14ac:dyDescent="0.2">
      <c r="A7" s="142"/>
      <c r="B7" s="141" t="s">
        <v>69</v>
      </c>
      <c r="C7" s="141" t="s">
        <v>70</v>
      </c>
      <c r="D7" s="141" t="s">
        <v>71</v>
      </c>
      <c r="E7" s="141" t="s">
        <v>72</v>
      </c>
      <c r="F7" s="141" t="s">
        <v>73</v>
      </c>
      <c r="G7" s="141" t="s">
        <v>285</v>
      </c>
      <c r="H7" s="141" t="s">
        <v>74</v>
      </c>
      <c r="I7" s="140" t="s">
        <v>278</v>
      </c>
    </row>
    <row r="8" spans="1:10" x14ac:dyDescent="0.2">
      <c r="A8" s="138"/>
      <c r="B8" s="75" t="s">
        <v>75</v>
      </c>
      <c r="C8" s="75"/>
      <c r="D8" s="139"/>
      <c r="E8" s="139"/>
      <c r="F8" s="75"/>
      <c r="G8" s="75"/>
      <c r="H8" s="139"/>
      <c r="I8" s="138">
        <f>I9+I20</f>
        <v>90000000</v>
      </c>
      <c r="J8" s="131"/>
    </row>
    <row r="9" spans="1:10" s="73" customFormat="1" x14ac:dyDescent="0.2">
      <c r="A9" s="130" t="s">
        <v>76</v>
      </c>
      <c r="B9" s="145" t="str">
        <f>+'Cuadro de Costos'!B8</f>
        <v>Componente Unico Obras civiles</v>
      </c>
      <c r="C9" s="145"/>
      <c r="D9" s="146"/>
      <c r="E9" s="146"/>
      <c r="F9" s="147"/>
      <c r="G9" s="147"/>
      <c r="H9" s="148"/>
      <c r="I9" s="137">
        <f>SUM(I10,I15)</f>
        <v>85000000</v>
      </c>
      <c r="J9" s="131"/>
    </row>
    <row r="10" spans="1:10" s="73" customFormat="1" x14ac:dyDescent="0.2">
      <c r="A10" s="123">
        <v>1.1000000000000001</v>
      </c>
      <c r="B10" s="84" t="str">
        <f>+'Cuadro de Costos'!B9</f>
        <v>Producto 1: 117.5 km de carreteras mejoradas y rehabilitadas</v>
      </c>
      <c r="C10" s="84"/>
      <c r="D10" s="149" t="s">
        <v>77</v>
      </c>
      <c r="E10" s="149"/>
      <c r="F10" s="136"/>
      <c r="G10" s="149" t="s">
        <v>363</v>
      </c>
      <c r="H10" s="150"/>
      <c r="I10" s="122">
        <f>SUM(I11:I14)</f>
        <v>72050000</v>
      </c>
      <c r="J10" s="131"/>
    </row>
    <row r="11" spans="1:10" s="128" customFormat="1" ht="25.5" x14ac:dyDescent="0.2">
      <c r="A11" s="121" t="s">
        <v>78</v>
      </c>
      <c r="B11" s="89" t="s">
        <v>401</v>
      </c>
      <c r="C11" s="439" t="s">
        <v>277</v>
      </c>
      <c r="D11" s="151" t="s">
        <v>79</v>
      </c>
      <c r="E11" s="90" t="s">
        <v>80</v>
      </c>
      <c r="F11" s="90" t="s">
        <v>81</v>
      </c>
      <c r="G11" s="90"/>
      <c r="H11" s="90" t="s">
        <v>82</v>
      </c>
      <c r="I11" s="119">
        <v>37550000</v>
      </c>
      <c r="J11" s="134"/>
    </row>
    <row r="12" spans="1:10" s="128" customFormat="1" ht="38.25" x14ac:dyDescent="0.2">
      <c r="A12" s="121" t="s">
        <v>83</v>
      </c>
      <c r="B12" s="89" t="s">
        <v>274</v>
      </c>
      <c r="C12" s="439" t="s">
        <v>277</v>
      </c>
      <c r="D12" s="151" t="s">
        <v>79</v>
      </c>
      <c r="E12" s="90" t="s">
        <v>80</v>
      </c>
      <c r="F12" s="90" t="s">
        <v>81</v>
      </c>
      <c r="G12" s="90"/>
      <c r="H12" s="90" t="s">
        <v>82</v>
      </c>
      <c r="I12" s="119">
        <v>30500000</v>
      </c>
      <c r="J12" s="132"/>
    </row>
    <row r="13" spans="1:10" s="128" customFormat="1" ht="25.5" x14ac:dyDescent="0.2">
      <c r="A13" s="121" t="s">
        <v>84</v>
      </c>
      <c r="B13" s="95" t="s">
        <v>402</v>
      </c>
      <c r="C13" s="439" t="s">
        <v>276</v>
      </c>
      <c r="D13" s="151" t="s">
        <v>79</v>
      </c>
      <c r="E13" s="90" t="s">
        <v>96</v>
      </c>
      <c r="F13" s="90" t="s">
        <v>103</v>
      </c>
      <c r="G13" s="90"/>
      <c r="H13" s="96" t="s">
        <v>85</v>
      </c>
      <c r="I13" s="133">
        <v>2200000</v>
      </c>
      <c r="J13" s="135"/>
    </row>
    <row r="14" spans="1:10" s="128" customFormat="1" ht="38.25" x14ac:dyDescent="0.2">
      <c r="A14" s="121" t="s">
        <v>86</v>
      </c>
      <c r="B14" s="95" t="s">
        <v>366</v>
      </c>
      <c r="C14" s="439" t="s">
        <v>276</v>
      </c>
      <c r="D14" s="151" t="s">
        <v>79</v>
      </c>
      <c r="E14" s="90" t="s">
        <v>96</v>
      </c>
      <c r="F14" s="90" t="s">
        <v>103</v>
      </c>
      <c r="G14" s="90"/>
      <c r="H14" s="96" t="s">
        <v>85</v>
      </c>
      <c r="I14" s="133">
        <v>1800000</v>
      </c>
      <c r="J14" s="132"/>
    </row>
    <row r="15" spans="1:10" s="73" customFormat="1" x14ac:dyDescent="0.2">
      <c r="A15" s="123">
        <v>1.2</v>
      </c>
      <c r="B15" s="84" t="str">
        <f>+'Cuadro de Costos'!B12</f>
        <v>Producto 2: 267 km de carretera conservados</v>
      </c>
      <c r="C15" s="84"/>
      <c r="D15" s="149" t="s">
        <v>77</v>
      </c>
      <c r="E15" s="149"/>
      <c r="F15" s="149"/>
      <c r="G15" s="149" t="s">
        <v>363</v>
      </c>
      <c r="H15" s="149"/>
      <c r="I15" s="122">
        <f>+I16+I17+I18+I19</f>
        <v>12950000</v>
      </c>
      <c r="J15" s="131"/>
    </row>
    <row r="16" spans="1:10" s="128" customFormat="1" ht="25.5" x14ac:dyDescent="0.2">
      <c r="A16" s="121" t="s">
        <v>87</v>
      </c>
      <c r="B16" s="95" t="s">
        <v>403</v>
      </c>
      <c r="C16" s="439" t="s">
        <v>275</v>
      </c>
      <c r="D16" s="151" t="s">
        <v>79</v>
      </c>
      <c r="E16" s="90" t="s">
        <v>80</v>
      </c>
      <c r="F16" s="90" t="s">
        <v>81</v>
      </c>
      <c r="G16" s="90" t="s">
        <v>287</v>
      </c>
      <c r="H16" s="96" t="s">
        <v>88</v>
      </c>
      <c r="I16" s="133">
        <v>6000000</v>
      </c>
      <c r="J16" s="132"/>
    </row>
    <row r="17" spans="1:14" s="128" customFormat="1" ht="25.5" x14ac:dyDescent="0.2">
      <c r="A17" s="121" t="s">
        <v>89</v>
      </c>
      <c r="B17" s="95" t="s">
        <v>404</v>
      </c>
      <c r="C17" s="439" t="s">
        <v>275</v>
      </c>
      <c r="D17" s="151" t="s">
        <v>79</v>
      </c>
      <c r="E17" s="90" t="s">
        <v>80</v>
      </c>
      <c r="F17" s="90" t="s">
        <v>81</v>
      </c>
      <c r="H17" s="96" t="s">
        <v>90</v>
      </c>
      <c r="I17" s="133">
        <v>6250000</v>
      </c>
      <c r="J17" s="132"/>
    </row>
    <row r="18" spans="1:14" s="128" customFormat="1" ht="25.5" x14ac:dyDescent="0.2">
      <c r="A18" s="121" t="s">
        <v>91</v>
      </c>
      <c r="B18" s="95" t="s">
        <v>405</v>
      </c>
      <c r="C18" s="439" t="s">
        <v>276</v>
      </c>
      <c r="D18" s="151" t="s">
        <v>79</v>
      </c>
      <c r="E18" s="90" t="s">
        <v>96</v>
      </c>
      <c r="F18" s="90" t="s">
        <v>103</v>
      </c>
      <c r="G18" s="90" t="s">
        <v>286</v>
      </c>
      <c r="H18" s="96" t="s">
        <v>115</v>
      </c>
      <c r="I18" s="133">
        <v>300000</v>
      </c>
      <c r="J18" s="132"/>
    </row>
    <row r="19" spans="1:14" s="128" customFormat="1" ht="25.5" x14ac:dyDescent="0.2">
      <c r="A19" s="121" t="s">
        <v>92</v>
      </c>
      <c r="B19" s="95" t="s">
        <v>406</v>
      </c>
      <c r="C19" s="439" t="s">
        <v>276</v>
      </c>
      <c r="D19" s="151" t="s">
        <v>79</v>
      </c>
      <c r="E19" s="90" t="s">
        <v>96</v>
      </c>
      <c r="F19" s="90" t="s">
        <v>103</v>
      </c>
      <c r="G19" s="90"/>
      <c r="H19" s="96" t="s">
        <v>90</v>
      </c>
      <c r="I19" s="133">
        <v>400000</v>
      </c>
      <c r="J19" s="132"/>
    </row>
    <row r="20" spans="1:14" s="128" customFormat="1" x14ac:dyDescent="0.2">
      <c r="A20" s="130">
        <v>2</v>
      </c>
      <c r="B20" s="145" t="s">
        <v>5</v>
      </c>
      <c r="C20" s="146"/>
      <c r="D20" s="146"/>
      <c r="E20" s="146"/>
      <c r="F20" s="147"/>
      <c r="G20" s="147"/>
      <c r="H20" s="148"/>
      <c r="I20" s="130">
        <f>+I21+I23+I26</f>
        <v>5000000</v>
      </c>
      <c r="N20" s="129"/>
    </row>
    <row r="21" spans="1:14" x14ac:dyDescent="0.2">
      <c r="A21" s="123">
        <v>2.1</v>
      </c>
      <c r="B21" s="84" t="s">
        <v>93</v>
      </c>
      <c r="C21" s="84"/>
      <c r="D21" s="149" t="s">
        <v>77</v>
      </c>
      <c r="E21" s="149"/>
      <c r="F21" s="152"/>
      <c r="G21" s="149" t="s">
        <v>363</v>
      </c>
      <c r="H21" s="149"/>
      <c r="I21" s="122">
        <f>I22</f>
        <v>3300000</v>
      </c>
    </row>
    <row r="22" spans="1:14" ht="38.25" x14ac:dyDescent="0.2">
      <c r="A22" s="125" t="s">
        <v>94</v>
      </c>
      <c r="B22" s="104" t="s">
        <v>367</v>
      </c>
      <c r="C22" s="439" t="s">
        <v>95</v>
      </c>
      <c r="D22" s="120" t="s">
        <v>79</v>
      </c>
      <c r="E22" s="90" t="s">
        <v>96</v>
      </c>
      <c r="F22" s="120" t="s">
        <v>97</v>
      </c>
      <c r="G22" s="120" t="s">
        <v>288</v>
      </c>
      <c r="H22" s="153" t="s">
        <v>98</v>
      </c>
      <c r="I22" s="124">
        <v>3300000</v>
      </c>
    </row>
    <row r="23" spans="1:14" x14ac:dyDescent="0.2">
      <c r="A23" s="123">
        <v>2.2000000000000002</v>
      </c>
      <c r="B23" s="84" t="s">
        <v>99</v>
      </c>
      <c r="C23" s="84"/>
      <c r="D23" s="149" t="s">
        <v>77</v>
      </c>
      <c r="E23" s="149"/>
      <c r="F23" s="149"/>
      <c r="G23" s="149" t="s">
        <v>363</v>
      </c>
      <c r="H23" s="149"/>
      <c r="I23" s="122">
        <f>SUM(I24:I25)</f>
        <v>250000</v>
      </c>
    </row>
    <row r="24" spans="1:14" ht="25.5" x14ac:dyDescent="0.2">
      <c r="A24" s="125" t="s">
        <v>100</v>
      </c>
      <c r="B24" s="104" t="s">
        <v>101</v>
      </c>
      <c r="C24" s="439" t="s">
        <v>102</v>
      </c>
      <c r="D24" s="120" t="s">
        <v>79</v>
      </c>
      <c r="E24" s="127" t="s">
        <v>96</v>
      </c>
      <c r="F24" s="120" t="s">
        <v>103</v>
      </c>
      <c r="G24" s="126"/>
      <c r="H24" s="153" t="s">
        <v>118</v>
      </c>
      <c r="I24" s="124">
        <v>150000</v>
      </c>
    </row>
    <row r="25" spans="1:14" ht="25.5" x14ac:dyDescent="0.2">
      <c r="A25" s="125" t="s">
        <v>104</v>
      </c>
      <c r="B25" s="104" t="s">
        <v>108</v>
      </c>
      <c r="C25" s="439" t="s">
        <v>102</v>
      </c>
      <c r="D25" s="120" t="s">
        <v>79</v>
      </c>
      <c r="E25" s="90" t="s">
        <v>96</v>
      </c>
      <c r="F25" s="90" t="s">
        <v>105</v>
      </c>
      <c r="G25" s="90"/>
      <c r="H25" s="153" t="s">
        <v>106</v>
      </c>
      <c r="I25" s="124">
        <v>100000</v>
      </c>
    </row>
    <row r="26" spans="1:14" x14ac:dyDescent="0.2">
      <c r="A26" s="123">
        <v>2.2999999999999998</v>
      </c>
      <c r="B26" s="84" t="s">
        <v>252</v>
      </c>
      <c r="C26" s="84"/>
      <c r="D26" s="149" t="s">
        <v>77</v>
      </c>
      <c r="E26" s="149"/>
      <c r="F26" s="149"/>
      <c r="G26" s="149" t="s">
        <v>363</v>
      </c>
      <c r="H26" s="149"/>
      <c r="I26" s="122">
        <f>SUM(I27:I29)</f>
        <v>1450000</v>
      </c>
    </row>
    <row r="27" spans="1:14" ht="25.5" x14ac:dyDescent="0.2">
      <c r="A27" s="125" t="s">
        <v>100</v>
      </c>
      <c r="B27" s="104" t="s">
        <v>282</v>
      </c>
      <c r="C27" s="439" t="s">
        <v>279</v>
      </c>
      <c r="D27" s="120" t="s">
        <v>79</v>
      </c>
      <c r="E27" s="127" t="s">
        <v>96</v>
      </c>
      <c r="F27" s="120" t="s">
        <v>105</v>
      </c>
      <c r="G27" s="126"/>
      <c r="H27" s="153" t="s">
        <v>289</v>
      </c>
      <c r="I27" s="124">
        <v>250000</v>
      </c>
    </row>
    <row r="28" spans="1:14" ht="25.5" x14ac:dyDescent="0.2">
      <c r="A28" s="125" t="s">
        <v>104</v>
      </c>
      <c r="B28" s="104" t="s">
        <v>283</v>
      </c>
      <c r="C28" s="439" t="s">
        <v>279</v>
      </c>
      <c r="D28" s="120" t="s">
        <v>79</v>
      </c>
      <c r="E28" s="90" t="s">
        <v>96</v>
      </c>
      <c r="F28" s="90" t="s">
        <v>103</v>
      </c>
      <c r="G28" s="90"/>
      <c r="H28" s="153" t="s">
        <v>88</v>
      </c>
      <c r="I28" s="124">
        <v>500000</v>
      </c>
    </row>
    <row r="29" spans="1:14" ht="25.5" x14ac:dyDescent="0.2">
      <c r="A29" s="125" t="s">
        <v>107</v>
      </c>
      <c r="B29" s="104" t="s">
        <v>281</v>
      </c>
      <c r="C29" s="439" t="s">
        <v>279</v>
      </c>
      <c r="D29" s="120" t="s">
        <v>79</v>
      </c>
      <c r="E29" s="90" t="s">
        <v>280</v>
      </c>
      <c r="F29" s="90" t="s">
        <v>284</v>
      </c>
      <c r="G29" s="90"/>
      <c r="H29" s="153" t="s">
        <v>88</v>
      </c>
      <c r="I29" s="124">
        <v>700000</v>
      </c>
    </row>
  </sheetData>
  <autoFilter ref="A7:I25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K33"/>
  <sheetViews>
    <sheetView showGridLines="0" zoomScale="72" zoomScaleNormal="72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D26" sqref="D26:CJ26"/>
    </sheetView>
  </sheetViews>
  <sheetFormatPr defaultColWidth="9.140625" defaultRowHeight="12.75" x14ac:dyDescent="0.2"/>
  <cols>
    <col min="1" max="1" width="8.85546875" style="180" customWidth="1"/>
    <col min="2" max="2" width="77.28515625" style="181" customWidth="1"/>
    <col min="3" max="3" width="21.7109375" style="182" bestFit="1" customWidth="1"/>
    <col min="4" max="4" width="9.42578125" style="161" bestFit="1" customWidth="1"/>
    <col min="5" max="5" width="8.85546875" style="161" bestFit="1" customWidth="1"/>
    <col min="6" max="6" width="12.42578125" style="161" bestFit="1" customWidth="1"/>
    <col min="7" max="7" width="8.85546875" style="161" bestFit="1" customWidth="1"/>
    <col min="8" max="8" width="9.7109375" style="161" bestFit="1" customWidth="1"/>
    <col min="9" max="9" width="12" style="161" bestFit="1" customWidth="1"/>
    <col min="10" max="10" width="8.140625" style="161" bestFit="1" customWidth="1"/>
    <col min="11" max="11" width="9.42578125" style="161" bestFit="1" customWidth="1"/>
    <col min="12" max="12" width="12" style="161" bestFit="1" customWidth="1"/>
    <col min="13" max="13" width="9.140625" style="161" bestFit="1" customWidth="1"/>
    <col min="14" max="14" width="12.42578125" style="161" bestFit="1" customWidth="1"/>
    <col min="15" max="15" width="14.28515625" style="161" bestFit="1" customWidth="1"/>
    <col min="16" max="16" width="14.5703125" style="161" bestFit="1" customWidth="1"/>
    <col min="17" max="17" width="12.42578125" style="161" bestFit="1" customWidth="1"/>
    <col min="18" max="20" width="13.85546875" style="161" bestFit="1" customWidth="1"/>
    <col min="21" max="22" width="14.28515625" style="161" bestFit="1" customWidth="1"/>
    <col min="23" max="23" width="13.42578125" style="161" bestFit="1" customWidth="1"/>
    <col min="24" max="24" width="13.85546875" style="161" bestFit="1" customWidth="1"/>
    <col min="25" max="25" width="14.28515625" style="161" bestFit="1" customWidth="1"/>
    <col min="26" max="27" width="13.85546875" style="161" bestFit="1" customWidth="1"/>
    <col min="28" max="32" width="14.28515625" style="161" bestFit="1" customWidth="1"/>
    <col min="33" max="33" width="13.85546875" style="161" bestFit="1" customWidth="1"/>
    <col min="34" max="35" width="14.28515625" style="161" bestFit="1" customWidth="1"/>
    <col min="36" max="37" width="12.42578125" style="161" bestFit="1" customWidth="1"/>
    <col min="38" max="38" width="11.7109375" style="161" bestFit="1" customWidth="1"/>
    <col min="39" max="39" width="12" style="161" bestFit="1" customWidth="1"/>
    <col min="40" max="40" width="14.5703125" style="161" bestFit="1" customWidth="1"/>
    <col min="41" max="41" width="12" style="161" bestFit="1" customWidth="1"/>
    <col min="42" max="42" width="13" style="161" bestFit="1" customWidth="1"/>
    <col min="43" max="43" width="14.28515625" style="161" bestFit="1" customWidth="1"/>
    <col min="44" max="44" width="13" style="161" bestFit="1" customWidth="1"/>
    <col min="45" max="45" width="14.28515625" style="161" bestFit="1" customWidth="1"/>
    <col min="46" max="48" width="13.85546875" style="161" bestFit="1" customWidth="1"/>
    <col min="49" max="49" width="14.5703125" style="161" bestFit="1" customWidth="1"/>
    <col min="50" max="51" width="13.85546875" style="161" bestFit="1" customWidth="1"/>
    <col min="52" max="52" width="14.28515625" style="162" bestFit="1" customWidth="1"/>
    <col min="53" max="53" width="13.85546875" style="162" bestFit="1" customWidth="1"/>
    <col min="54" max="54" width="14.28515625" style="162" bestFit="1" customWidth="1"/>
    <col min="55" max="55" width="14.5703125" style="162" bestFit="1" customWidth="1"/>
    <col min="56" max="56" width="14.28515625" style="162" bestFit="1" customWidth="1"/>
    <col min="57" max="57" width="13.85546875" style="162" bestFit="1" customWidth="1"/>
    <col min="58" max="58" width="14.5703125" style="162" bestFit="1" customWidth="1"/>
    <col min="59" max="59" width="14.28515625" style="162" bestFit="1" customWidth="1"/>
    <col min="60" max="60" width="12" style="162" bestFit="1" customWidth="1"/>
    <col min="61" max="61" width="12.42578125" style="162" bestFit="1" customWidth="1"/>
    <col min="62" max="62" width="12" style="162" bestFit="1" customWidth="1"/>
    <col min="63" max="63" width="12.42578125" style="162" bestFit="1" customWidth="1"/>
    <col min="64" max="64" width="12.42578125" style="163" bestFit="1" customWidth="1"/>
    <col min="65" max="65" width="9.7109375" style="163" bestFit="1" customWidth="1"/>
    <col min="66" max="66" width="12" style="164" bestFit="1" customWidth="1"/>
    <col min="67" max="67" width="12.42578125" style="161" bestFit="1" customWidth="1"/>
    <col min="68" max="68" width="9.140625" style="161"/>
    <col min="69" max="69" width="12" style="161" bestFit="1" customWidth="1"/>
    <col min="70" max="70" width="12.42578125" style="161" bestFit="1" customWidth="1"/>
    <col min="71" max="71" width="9.42578125" style="161" bestFit="1" customWidth="1"/>
    <col min="72" max="72" width="12" style="161" bestFit="1" customWidth="1"/>
    <col min="73" max="73" width="12.42578125" style="161" bestFit="1" customWidth="1"/>
    <col min="74" max="74" width="9.140625" style="161"/>
    <col min="75" max="75" width="12" style="161" bestFit="1" customWidth="1"/>
    <col min="76" max="76" width="12.42578125" style="161" bestFit="1" customWidth="1"/>
    <col min="77" max="77" width="9.7109375" style="161" bestFit="1" customWidth="1"/>
    <col min="78" max="78" width="12" style="161" bestFit="1" customWidth="1"/>
    <col min="79" max="79" width="12.42578125" style="161" bestFit="1" customWidth="1"/>
    <col min="80" max="80" width="11" style="161" bestFit="1" customWidth="1"/>
    <col min="81" max="81" width="12" style="161" bestFit="1" customWidth="1"/>
    <col min="82" max="82" width="12.42578125" style="161" bestFit="1" customWidth="1"/>
    <col min="83" max="83" width="10.7109375" style="161" bestFit="1" customWidth="1"/>
    <col min="84" max="84" width="12" style="161" bestFit="1" customWidth="1"/>
    <col min="85" max="85" width="12.42578125" style="161" bestFit="1" customWidth="1"/>
    <col min="86" max="86" width="9.140625" style="161"/>
    <col min="87" max="87" width="14.5703125" style="161" bestFit="1" customWidth="1"/>
    <col min="88" max="88" width="16.28515625" style="161" bestFit="1" customWidth="1"/>
    <col min="89" max="89" width="14.28515625" style="161" bestFit="1" customWidth="1"/>
    <col min="90" max="16384" width="9.140625" style="161"/>
  </cols>
  <sheetData>
    <row r="1" spans="1:89" x14ac:dyDescent="0.2">
      <c r="A1" s="159" t="s">
        <v>119</v>
      </c>
      <c r="B1" s="159"/>
      <c r="C1" s="160"/>
    </row>
    <row r="2" spans="1:89" x14ac:dyDescent="0.2">
      <c r="A2" s="159" t="s">
        <v>10</v>
      </c>
      <c r="B2" s="159"/>
      <c r="C2" s="160"/>
    </row>
    <row r="3" spans="1:89" x14ac:dyDescent="0.2">
      <c r="A3" s="159"/>
      <c r="B3" s="159"/>
      <c r="C3" s="165"/>
    </row>
    <row r="4" spans="1:89" x14ac:dyDescent="0.2">
      <c r="A4" s="489" t="str">
        <f>+'4. CC D'!A4</f>
        <v>Operación: Programa de Mejoramiento y conservación de corredores viales</v>
      </c>
      <c r="B4" s="489"/>
      <c r="C4" s="160"/>
    </row>
    <row r="5" spans="1:89" x14ac:dyDescent="0.2">
      <c r="A5" s="159"/>
      <c r="B5" s="159"/>
      <c r="C5" s="160"/>
    </row>
    <row r="6" spans="1:89" x14ac:dyDescent="0.2">
      <c r="A6" s="159" t="s">
        <v>11</v>
      </c>
      <c r="B6" s="159"/>
      <c r="C6" s="160"/>
    </row>
    <row r="7" spans="1:89" s="168" customFormat="1" x14ac:dyDescent="0.2">
      <c r="A7" s="490" t="s">
        <v>412</v>
      </c>
      <c r="B7" s="491"/>
      <c r="C7" s="166"/>
      <c r="D7" s="479" t="s">
        <v>14</v>
      </c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 t="s">
        <v>15</v>
      </c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 t="s">
        <v>16</v>
      </c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 t="s">
        <v>17</v>
      </c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 t="s">
        <v>18</v>
      </c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86" t="s">
        <v>111</v>
      </c>
      <c r="BM7" s="487"/>
      <c r="BN7" s="487"/>
      <c r="BO7" s="487"/>
      <c r="BP7" s="487"/>
      <c r="BQ7" s="487"/>
      <c r="BR7" s="487"/>
      <c r="BS7" s="487"/>
      <c r="BT7" s="487"/>
      <c r="BU7" s="487"/>
      <c r="BV7" s="487"/>
      <c r="BW7" s="488"/>
      <c r="BX7" s="486" t="s">
        <v>112</v>
      </c>
      <c r="BY7" s="487"/>
      <c r="BZ7" s="487"/>
      <c r="CA7" s="487"/>
      <c r="CB7" s="487"/>
      <c r="CC7" s="487"/>
      <c r="CD7" s="487"/>
      <c r="CE7" s="487"/>
      <c r="CF7" s="487"/>
      <c r="CG7" s="487"/>
      <c r="CH7" s="487"/>
      <c r="CI7" s="488"/>
    </row>
    <row r="8" spans="1:89" s="168" customFormat="1" x14ac:dyDescent="0.2">
      <c r="A8" s="492"/>
      <c r="B8" s="493"/>
      <c r="C8" s="166"/>
      <c r="D8" s="479" t="s">
        <v>120</v>
      </c>
      <c r="E8" s="479"/>
      <c r="F8" s="479"/>
      <c r="G8" s="479" t="s">
        <v>121</v>
      </c>
      <c r="H8" s="479"/>
      <c r="I8" s="479"/>
      <c r="J8" s="479" t="s">
        <v>122</v>
      </c>
      <c r="K8" s="479"/>
      <c r="L8" s="479"/>
      <c r="M8" s="479" t="s">
        <v>123</v>
      </c>
      <c r="N8" s="479"/>
      <c r="O8" s="479"/>
      <c r="P8" s="479" t="s">
        <v>120</v>
      </c>
      <c r="Q8" s="479"/>
      <c r="R8" s="479"/>
      <c r="S8" s="479" t="s">
        <v>121</v>
      </c>
      <c r="T8" s="479"/>
      <c r="U8" s="479"/>
      <c r="V8" s="479" t="s">
        <v>122</v>
      </c>
      <c r="W8" s="479"/>
      <c r="X8" s="479"/>
      <c r="Y8" s="479" t="s">
        <v>123</v>
      </c>
      <c r="Z8" s="479"/>
      <c r="AA8" s="479"/>
      <c r="AB8" s="479" t="s">
        <v>120</v>
      </c>
      <c r="AC8" s="479"/>
      <c r="AD8" s="479"/>
      <c r="AE8" s="479" t="s">
        <v>121</v>
      </c>
      <c r="AF8" s="479"/>
      <c r="AG8" s="479"/>
      <c r="AH8" s="479" t="s">
        <v>122</v>
      </c>
      <c r="AI8" s="479"/>
      <c r="AJ8" s="479"/>
      <c r="AK8" s="479" t="s">
        <v>123</v>
      </c>
      <c r="AL8" s="479"/>
      <c r="AM8" s="479"/>
      <c r="AN8" s="479" t="s">
        <v>120</v>
      </c>
      <c r="AO8" s="479"/>
      <c r="AP8" s="479"/>
      <c r="AQ8" s="479" t="s">
        <v>121</v>
      </c>
      <c r="AR8" s="479"/>
      <c r="AS8" s="479"/>
      <c r="AT8" s="479" t="s">
        <v>122</v>
      </c>
      <c r="AU8" s="479"/>
      <c r="AV8" s="479"/>
      <c r="AW8" s="479" t="s">
        <v>123</v>
      </c>
      <c r="AX8" s="479"/>
      <c r="AY8" s="479"/>
      <c r="AZ8" s="479" t="s">
        <v>120</v>
      </c>
      <c r="BA8" s="479"/>
      <c r="BB8" s="479"/>
      <c r="BC8" s="479" t="s">
        <v>121</v>
      </c>
      <c r="BD8" s="479"/>
      <c r="BE8" s="479"/>
      <c r="BF8" s="479" t="s">
        <v>122</v>
      </c>
      <c r="BG8" s="479"/>
      <c r="BH8" s="479"/>
      <c r="BI8" s="479" t="s">
        <v>123</v>
      </c>
      <c r="BJ8" s="479"/>
      <c r="BK8" s="479"/>
      <c r="BL8" s="479" t="s">
        <v>120</v>
      </c>
      <c r="BM8" s="479"/>
      <c r="BN8" s="479"/>
      <c r="BO8" s="479" t="s">
        <v>121</v>
      </c>
      <c r="BP8" s="479"/>
      <c r="BQ8" s="479"/>
      <c r="BR8" s="479" t="s">
        <v>122</v>
      </c>
      <c r="BS8" s="479"/>
      <c r="BT8" s="479"/>
      <c r="BU8" s="479" t="s">
        <v>123</v>
      </c>
      <c r="BV8" s="479"/>
      <c r="BW8" s="479"/>
      <c r="BX8" s="479" t="s">
        <v>120</v>
      </c>
      <c r="BY8" s="479"/>
      <c r="BZ8" s="479"/>
      <c r="CA8" s="479" t="s">
        <v>121</v>
      </c>
      <c r="CB8" s="479"/>
      <c r="CC8" s="479"/>
      <c r="CD8" s="479" t="s">
        <v>122</v>
      </c>
      <c r="CE8" s="479"/>
      <c r="CF8" s="479"/>
      <c r="CG8" s="479" t="s">
        <v>123</v>
      </c>
      <c r="CH8" s="479"/>
      <c r="CI8" s="479"/>
    </row>
    <row r="9" spans="1:89" s="168" customFormat="1" x14ac:dyDescent="0.2">
      <c r="A9" s="492"/>
      <c r="B9" s="493"/>
      <c r="C9" s="166"/>
      <c r="D9" s="157" t="s">
        <v>124</v>
      </c>
      <c r="E9" s="157" t="s">
        <v>125</v>
      </c>
      <c r="F9" s="157" t="s">
        <v>126</v>
      </c>
      <c r="G9" s="157" t="s">
        <v>127</v>
      </c>
      <c r="H9" s="157" t="s">
        <v>128</v>
      </c>
      <c r="I9" s="157" t="s">
        <v>129</v>
      </c>
      <c r="J9" s="157" t="s">
        <v>130</v>
      </c>
      <c r="K9" s="157" t="s">
        <v>131</v>
      </c>
      <c r="L9" s="157" t="s">
        <v>132</v>
      </c>
      <c r="M9" s="157" t="s">
        <v>133</v>
      </c>
      <c r="N9" s="157" t="s">
        <v>134</v>
      </c>
      <c r="O9" s="157" t="s">
        <v>135</v>
      </c>
      <c r="P9" s="157" t="s">
        <v>136</v>
      </c>
      <c r="Q9" s="157" t="s">
        <v>137</v>
      </c>
      <c r="R9" s="157" t="s">
        <v>138</v>
      </c>
      <c r="S9" s="157" t="s">
        <v>139</v>
      </c>
      <c r="T9" s="157" t="s">
        <v>140</v>
      </c>
      <c r="U9" s="157" t="s">
        <v>141</v>
      </c>
      <c r="V9" s="157" t="s">
        <v>142</v>
      </c>
      <c r="W9" s="157" t="s">
        <v>143</v>
      </c>
      <c r="X9" s="157" t="s">
        <v>144</v>
      </c>
      <c r="Y9" s="157" t="s">
        <v>145</v>
      </c>
      <c r="Z9" s="157" t="s">
        <v>146</v>
      </c>
      <c r="AA9" s="157" t="s">
        <v>147</v>
      </c>
      <c r="AB9" s="157" t="s">
        <v>148</v>
      </c>
      <c r="AC9" s="157" t="s">
        <v>149</v>
      </c>
      <c r="AD9" s="157" t="s">
        <v>150</v>
      </c>
      <c r="AE9" s="157" t="s">
        <v>151</v>
      </c>
      <c r="AF9" s="157" t="s">
        <v>152</v>
      </c>
      <c r="AG9" s="157" t="s">
        <v>153</v>
      </c>
      <c r="AH9" s="157" t="s">
        <v>154</v>
      </c>
      <c r="AI9" s="157" t="s">
        <v>155</v>
      </c>
      <c r="AJ9" s="157" t="s">
        <v>156</v>
      </c>
      <c r="AK9" s="157" t="s">
        <v>157</v>
      </c>
      <c r="AL9" s="157" t="s">
        <v>158</v>
      </c>
      <c r="AM9" s="157" t="s">
        <v>159</v>
      </c>
      <c r="AN9" s="157" t="s">
        <v>160</v>
      </c>
      <c r="AO9" s="157" t="s">
        <v>161</v>
      </c>
      <c r="AP9" s="157" t="s">
        <v>162</v>
      </c>
      <c r="AQ9" s="157" t="s">
        <v>163</v>
      </c>
      <c r="AR9" s="157" t="s">
        <v>164</v>
      </c>
      <c r="AS9" s="157" t="s">
        <v>165</v>
      </c>
      <c r="AT9" s="157" t="s">
        <v>166</v>
      </c>
      <c r="AU9" s="157" t="s">
        <v>167</v>
      </c>
      <c r="AV9" s="157" t="s">
        <v>168</v>
      </c>
      <c r="AW9" s="157" t="s">
        <v>169</v>
      </c>
      <c r="AX9" s="157" t="s">
        <v>170</v>
      </c>
      <c r="AY9" s="157" t="s">
        <v>171</v>
      </c>
      <c r="AZ9" s="157" t="s">
        <v>172</v>
      </c>
      <c r="BA9" s="157" t="s">
        <v>173</v>
      </c>
      <c r="BB9" s="157" t="s">
        <v>174</v>
      </c>
      <c r="BC9" s="157" t="s">
        <v>175</v>
      </c>
      <c r="BD9" s="157" t="s">
        <v>176</v>
      </c>
      <c r="BE9" s="157" t="s">
        <v>177</v>
      </c>
      <c r="BF9" s="157" t="s">
        <v>178</v>
      </c>
      <c r="BG9" s="157" t="s">
        <v>179</v>
      </c>
      <c r="BH9" s="157" t="s">
        <v>180</v>
      </c>
      <c r="BI9" s="157" t="s">
        <v>181</v>
      </c>
      <c r="BJ9" s="157" t="s">
        <v>182</v>
      </c>
      <c r="BK9" s="157" t="s">
        <v>183</v>
      </c>
      <c r="BL9" s="157" t="s">
        <v>186</v>
      </c>
      <c r="BM9" s="157" t="s">
        <v>187</v>
      </c>
      <c r="BN9" s="157" t="s">
        <v>188</v>
      </c>
      <c r="BO9" s="157" t="s">
        <v>189</v>
      </c>
      <c r="BP9" s="157" t="s">
        <v>190</v>
      </c>
      <c r="BQ9" s="157" t="s">
        <v>191</v>
      </c>
      <c r="BR9" s="157" t="s">
        <v>192</v>
      </c>
      <c r="BS9" s="157" t="s">
        <v>193</v>
      </c>
      <c r="BT9" s="157" t="s">
        <v>194</v>
      </c>
      <c r="BU9" s="157" t="s">
        <v>195</v>
      </c>
      <c r="BV9" s="157" t="s">
        <v>196</v>
      </c>
      <c r="BW9" s="157" t="s">
        <v>197</v>
      </c>
      <c r="BX9" s="157" t="s">
        <v>198</v>
      </c>
      <c r="BY9" s="157" t="s">
        <v>199</v>
      </c>
      <c r="BZ9" s="157" t="s">
        <v>200</v>
      </c>
      <c r="CA9" s="157" t="s">
        <v>201</v>
      </c>
      <c r="CB9" s="157" t="s">
        <v>202</v>
      </c>
      <c r="CC9" s="157" t="s">
        <v>203</v>
      </c>
      <c r="CD9" s="157" t="s">
        <v>204</v>
      </c>
      <c r="CE9" s="157" t="s">
        <v>205</v>
      </c>
      <c r="CF9" s="157" t="s">
        <v>206</v>
      </c>
      <c r="CG9" s="157" t="s">
        <v>207</v>
      </c>
      <c r="CH9" s="157" t="s">
        <v>208</v>
      </c>
      <c r="CI9" s="157" t="s">
        <v>209</v>
      </c>
    </row>
    <row r="10" spans="1:89" s="168" customFormat="1" x14ac:dyDescent="0.2">
      <c r="A10" s="492"/>
      <c r="B10" s="493"/>
      <c r="C10" s="169" t="s">
        <v>184</v>
      </c>
      <c r="D10" s="170">
        <f>[3]caledario!D1</f>
        <v>42736</v>
      </c>
      <c r="E10" s="170">
        <f>[3]caledario!D2</f>
        <v>42767</v>
      </c>
      <c r="F10" s="170">
        <f>[3]caledario!D3</f>
        <v>42795</v>
      </c>
      <c r="G10" s="170">
        <f>[3]caledario!D4</f>
        <v>42826</v>
      </c>
      <c r="H10" s="170">
        <f>[3]caledario!D5</f>
        <v>42856</v>
      </c>
      <c r="I10" s="170">
        <f>[3]caledario!D6</f>
        <v>42887</v>
      </c>
      <c r="J10" s="170">
        <f>[3]caledario!D7</f>
        <v>42917</v>
      </c>
      <c r="K10" s="170">
        <f>[3]caledario!D8</f>
        <v>42948</v>
      </c>
      <c r="L10" s="170">
        <f>[3]caledario!D9</f>
        <v>42979</v>
      </c>
      <c r="M10" s="170">
        <f>[3]caledario!D10</f>
        <v>43009</v>
      </c>
      <c r="N10" s="170">
        <f>[3]caledario!D11</f>
        <v>43040</v>
      </c>
      <c r="O10" s="170">
        <f>[3]caledario!D12</f>
        <v>43070</v>
      </c>
      <c r="P10" s="170">
        <f>[3]caledario!D13</f>
        <v>43101</v>
      </c>
      <c r="Q10" s="170">
        <f>[3]caledario!D14</f>
        <v>43132</v>
      </c>
      <c r="R10" s="170">
        <f>[3]caledario!D15</f>
        <v>43160</v>
      </c>
      <c r="S10" s="170">
        <f>[3]caledario!D16</f>
        <v>43191</v>
      </c>
      <c r="T10" s="170">
        <f>[3]caledario!D17</f>
        <v>43221</v>
      </c>
      <c r="U10" s="170">
        <f>[3]caledario!D18</f>
        <v>43252</v>
      </c>
      <c r="V10" s="170">
        <f>[3]caledario!D19</f>
        <v>43282</v>
      </c>
      <c r="W10" s="170">
        <f>[3]caledario!D20</f>
        <v>43313</v>
      </c>
      <c r="X10" s="170">
        <f>[3]caledario!D21</f>
        <v>43344</v>
      </c>
      <c r="Y10" s="170">
        <f>[3]caledario!D22</f>
        <v>43374</v>
      </c>
      <c r="Z10" s="170">
        <f>[3]caledario!D23</f>
        <v>43405</v>
      </c>
      <c r="AA10" s="170">
        <f>[3]caledario!D24</f>
        <v>43435</v>
      </c>
      <c r="AB10" s="170">
        <f>[3]caledario!D25</f>
        <v>43466</v>
      </c>
      <c r="AC10" s="170">
        <f>[3]caledario!D26</f>
        <v>43497</v>
      </c>
      <c r="AD10" s="170">
        <f>[3]caledario!D27</f>
        <v>43525</v>
      </c>
      <c r="AE10" s="170">
        <f>[3]caledario!D28</f>
        <v>43556</v>
      </c>
      <c r="AF10" s="170">
        <f>[3]caledario!D29</f>
        <v>43586</v>
      </c>
      <c r="AG10" s="170">
        <f>[3]caledario!D30</f>
        <v>43617</v>
      </c>
      <c r="AH10" s="170">
        <f>[3]caledario!D31</f>
        <v>43647</v>
      </c>
      <c r="AI10" s="170">
        <f>[3]caledario!D32</f>
        <v>43678</v>
      </c>
      <c r="AJ10" s="170">
        <f>[3]caledario!D33</f>
        <v>43709</v>
      </c>
      <c r="AK10" s="170">
        <f>[3]caledario!D34</f>
        <v>43739</v>
      </c>
      <c r="AL10" s="170">
        <f>[3]caledario!D35</f>
        <v>43770</v>
      </c>
      <c r="AM10" s="170">
        <f>[3]caledario!D36</f>
        <v>43800</v>
      </c>
      <c r="AN10" s="170">
        <f>[3]caledario!D37</f>
        <v>43831</v>
      </c>
      <c r="AO10" s="170">
        <f>[3]caledario!D38</f>
        <v>43862</v>
      </c>
      <c r="AP10" s="170">
        <f>[3]caledario!D39</f>
        <v>43891</v>
      </c>
      <c r="AQ10" s="170">
        <f>[3]caledario!D40</f>
        <v>43922</v>
      </c>
      <c r="AR10" s="170">
        <f>[3]caledario!D41</f>
        <v>43952</v>
      </c>
      <c r="AS10" s="170">
        <f>[3]caledario!D42</f>
        <v>43983</v>
      </c>
      <c r="AT10" s="170">
        <f>[3]caledario!D43</f>
        <v>44013</v>
      </c>
      <c r="AU10" s="170">
        <f>[3]caledario!D44</f>
        <v>44044</v>
      </c>
      <c r="AV10" s="170">
        <f>[3]caledario!D45</f>
        <v>44075</v>
      </c>
      <c r="AW10" s="170">
        <f>[3]caledario!D46</f>
        <v>44105</v>
      </c>
      <c r="AX10" s="170">
        <f>[3]caledario!D47</f>
        <v>44136</v>
      </c>
      <c r="AY10" s="170">
        <f>[3]caledario!D48</f>
        <v>44166</v>
      </c>
      <c r="AZ10" s="170">
        <f>[3]caledario!D49</f>
        <v>44197</v>
      </c>
      <c r="BA10" s="170">
        <f>[3]caledario!D50</f>
        <v>44228</v>
      </c>
      <c r="BB10" s="170">
        <f>[3]caledario!D51</f>
        <v>44256</v>
      </c>
      <c r="BC10" s="170">
        <f>[3]caledario!D52</f>
        <v>44287</v>
      </c>
      <c r="BD10" s="170">
        <f>[3]caledario!D53</f>
        <v>44317</v>
      </c>
      <c r="BE10" s="170">
        <f>[3]caledario!D54</f>
        <v>44348</v>
      </c>
      <c r="BF10" s="170">
        <f>[3]caledario!D55</f>
        <v>44378</v>
      </c>
      <c r="BG10" s="170">
        <f>[3]caledario!D56</f>
        <v>44409</v>
      </c>
      <c r="BH10" s="170">
        <f>[3]caledario!D57</f>
        <v>44440</v>
      </c>
      <c r="BI10" s="170">
        <f>[3]caledario!D58</f>
        <v>44470</v>
      </c>
      <c r="BJ10" s="170">
        <f>[3]caledario!D59</f>
        <v>44501</v>
      </c>
      <c r="BK10" s="170">
        <f>[3]caledario!D60</f>
        <v>44531</v>
      </c>
      <c r="BM10" s="163"/>
      <c r="BN10" s="167"/>
      <c r="CJ10" s="163"/>
    </row>
    <row r="11" spans="1:89" s="171" customFormat="1" x14ac:dyDescent="0.2">
      <c r="A11" s="74">
        <f>+'4. CC D'!A8</f>
        <v>0</v>
      </c>
      <c r="B11" s="75" t="str">
        <f>+'4. CC D'!B8</f>
        <v>Programa de Mejoramiento y conservación de Corredores Viales</v>
      </c>
      <c r="C11" s="78">
        <f>+'3. PEP'!G25</f>
        <v>90000000</v>
      </c>
      <c r="D11" s="78">
        <f t="shared" ref="D11:AI11" si="0">+D12+D23</f>
        <v>0</v>
      </c>
      <c r="E11" s="78">
        <f t="shared" si="0"/>
        <v>0</v>
      </c>
      <c r="F11" s="78">
        <f t="shared" si="0"/>
        <v>117857.14285714286</v>
      </c>
      <c r="G11" s="78">
        <f t="shared" si="0"/>
        <v>0</v>
      </c>
      <c r="H11" s="78">
        <f t="shared" si="0"/>
        <v>0</v>
      </c>
      <c r="I11" s="78">
        <f t="shared" si="0"/>
        <v>117857.14285714286</v>
      </c>
      <c r="J11" s="78">
        <f t="shared" si="0"/>
        <v>0</v>
      </c>
      <c r="K11" s="78">
        <f t="shared" si="0"/>
        <v>0</v>
      </c>
      <c r="L11" s="78">
        <f t="shared" si="0"/>
        <v>117857.14285714286</v>
      </c>
      <c r="M11" s="78">
        <f t="shared" si="0"/>
        <v>0</v>
      </c>
      <c r="N11" s="78">
        <f t="shared" si="0"/>
        <v>0</v>
      </c>
      <c r="O11" s="78">
        <f t="shared" si="0"/>
        <v>7847857.1428571427</v>
      </c>
      <c r="P11" s="78">
        <f t="shared" si="0"/>
        <v>2147000</v>
      </c>
      <c r="Q11" s="78">
        <f t="shared" si="0"/>
        <v>976435.71428571432</v>
      </c>
      <c r="R11" s="78">
        <f t="shared" si="0"/>
        <v>1245157.142857143</v>
      </c>
      <c r="S11" s="78">
        <f t="shared" si="0"/>
        <v>1357538.0952380954</v>
      </c>
      <c r="T11" s="78">
        <f t="shared" si="0"/>
        <v>1291021.4285714286</v>
      </c>
      <c r="U11" s="78">
        <f t="shared" si="0"/>
        <v>1555457.142857143</v>
      </c>
      <c r="V11" s="78">
        <f t="shared" si="0"/>
        <v>1659266.6666666667</v>
      </c>
      <c r="W11" s="78">
        <f t="shared" si="0"/>
        <v>1592750</v>
      </c>
      <c r="X11" s="78">
        <f t="shared" si="0"/>
        <v>1865757.142857143</v>
      </c>
      <c r="Y11" s="78">
        <f t="shared" si="0"/>
        <v>1969566.6666666667</v>
      </c>
      <c r="Z11" s="78">
        <f t="shared" si="0"/>
        <v>1747900</v>
      </c>
      <c r="AA11" s="78">
        <f t="shared" si="0"/>
        <v>2020907.142857143</v>
      </c>
      <c r="AB11" s="78">
        <f t="shared" si="0"/>
        <v>2435016.6666666665</v>
      </c>
      <c r="AC11" s="78">
        <f t="shared" si="0"/>
        <v>2217635.7142857141</v>
      </c>
      <c r="AD11" s="78">
        <f t="shared" si="0"/>
        <v>2176057.1428571427</v>
      </c>
      <c r="AE11" s="78">
        <f t="shared" si="0"/>
        <v>2288438.0952380951</v>
      </c>
      <c r="AF11" s="78">
        <f t="shared" si="0"/>
        <v>1601321.4285714286</v>
      </c>
      <c r="AG11" s="78">
        <f t="shared" si="0"/>
        <v>1710607.142857143</v>
      </c>
      <c r="AH11" s="78">
        <f t="shared" si="0"/>
        <v>1504116.6666666667</v>
      </c>
      <c r="AI11" s="78">
        <f t="shared" si="0"/>
        <v>661850</v>
      </c>
      <c r="AJ11" s="78">
        <f t="shared" ref="AJ11:BO11" si="1">+AJ12+AJ23</f>
        <v>469407.14285714284</v>
      </c>
      <c r="AK11" s="78">
        <f t="shared" si="1"/>
        <v>573216.66666666674</v>
      </c>
      <c r="AL11" s="78">
        <f t="shared" si="1"/>
        <v>351550</v>
      </c>
      <c r="AM11" s="78">
        <f t="shared" si="1"/>
        <v>469407.14285714284</v>
      </c>
      <c r="AN11" s="78">
        <f t="shared" si="1"/>
        <v>7761666.666666666</v>
      </c>
      <c r="AO11" s="78">
        <f t="shared" si="1"/>
        <v>668285.71428571432</v>
      </c>
      <c r="AP11" s="78">
        <f t="shared" si="1"/>
        <v>907907.14285714284</v>
      </c>
      <c r="AQ11" s="78">
        <f t="shared" si="1"/>
        <v>1461338.0952380954</v>
      </c>
      <c r="AR11" s="78">
        <f t="shared" si="1"/>
        <v>924671.42857142852</v>
      </c>
      <c r="AS11" s="78">
        <f t="shared" si="1"/>
        <v>1160007.142857143</v>
      </c>
      <c r="AT11" s="78">
        <f t="shared" si="1"/>
        <v>1704866.6666666667</v>
      </c>
      <c r="AU11" s="78">
        <f t="shared" si="1"/>
        <v>1168200</v>
      </c>
      <c r="AV11" s="78">
        <f t="shared" si="1"/>
        <v>1412107.142857143</v>
      </c>
      <c r="AW11" s="78">
        <f t="shared" si="1"/>
        <v>1956966.6666666667</v>
      </c>
      <c r="AX11" s="78">
        <f t="shared" si="1"/>
        <v>1420300</v>
      </c>
      <c r="AY11" s="78">
        <f t="shared" si="1"/>
        <v>1538157.142857143</v>
      </c>
      <c r="AZ11" s="78">
        <f t="shared" si="1"/>
        <v>2083016.6666666667</v>
      </c>
      <c r="BA11" s="78">
        <f t="shared" si="1"/>
        <v>1802735.7142857143</v>
      </c>
      <c r="BB11" s="78">
        <f t="shared" si="1"/>
        <v>1916307.142857143</v>
      </c>
      <c r="BC11" s="78">
        <f t="shared" si="1"/>
        <v>2217638.0952380956</v>
      </c>
      <c r="BD11" s="78">
        <f t="shared" si="1"/>
        <v>1680971.4285714286</v>
      </c>
      <c r="BE11" s="78">
        <f t="shared" si="1"/>
        <v>1412107.142857143</v>
      </c>
      <c r="BF11" s="78">
        <f t="shared" si="1"/>
        <v>1830916.6666666667</v>
      </c>
      <c r="BG11" s="78">
        <f t="shared" si="1"/>
        <v>1042150</v>
      </c>
      <c r="BH11" s="78">
        <f t="shared" si="1"/>
        <v>655807.14285714284</v>
      </c>
      <c r="BI11" s="78">
        <f t="shared" si="1"/>
        <v>822516.66666666674</v>
      </c>
      <c r="BJ11" s="78">
        <f t="shared" si="1"/>
        <v>285850</v>
      </c>
      <c r="BK11" s="78">
        <f t="shared" si="1"/>
        <v>403707.14285714284</v>
      </c>
      <c r="BL11" s="78">
        <f t="shared" si="1"/>
        <v>822516.66666666674</v>
      </c>
      <c r="BM11" s="78">
        <f t="shared" si="1"/>
        <v>4285.7142857142853</v>
      </c>
      <c r="BN11" s="78">
        <f t="shared" si="1"/>
        <v>117857.14285714286</v>
      </c>
      <c r="BO11" s="78">
        <f t="shared" si="1"/>
        <v>545238.09523809527</v>
      </c>
      <c r="BP11" s="78">
        <f t="shared" ref="BP11:CJ11" si="2">+BP12+BP23</f>
        <v>8571.4285714285706</v>
      </c>
      <c r="BQ11" s="78">
        <f t="shared" si="2"/>
        <v>117857.14285714286</v>
      </c>
      <c r="BR11" s="78">
        <f t="shared" si="2"/>
        <v>536666.66666666674</v>
      </c>
      <c r="BS11" s="78">
        <f t="shared" si="2"/>
        <v>0</v>
      </c>
      <c r="BT11" s="78">
        <f t="shared" si="2"/>
        <v>117857.14285714286</v>
      </c>
      <c r="BU11" s="78">
        <f t="shared" si="2"/>
        <v>536666.66666666674</v>
      </c>
      <c r="BV11" s="78">
        <f t="shared" si="2"/>
        <v>0</v>
      </c>
      <c r="BW11" s="78">
        <f t="shared" si="2"/>
        <v>117857.14285714286</v>
      </c>
      <c r="BX11" s="78">
        <f t="shared" si="2"/>
        <v>536666.66666666674</v>
      </c>
      <c r="BY11" s="78">
        <f t="shared" si="2"/>
        <v>4285.7142857142853</v>
      </c>
      <c r="BZ11" s="78">
        <f t="shared" si="2"/>
        <v>117857.14285714286</v>
      </c>
      <c r="CA11" s="78">
        <f t="shared" si="2"/>
        <v>545238.09523809527</v>
      </c>
      <c r="CB11" s="78">
        <f t="shared" si="2"/>
        <v>38571.428571428572</v>
      </c>
      <c r="CC11" s="78">
        <f t="shared" si="2"/>
        <v>117857.14285714286</v>
      </c>
      <c r="CD11" s="78">
        <f t="shared" si="2"/>
        <v>536666.66666666674</v>
      </c>
      <c r="CE11" s="78">
        <f t="shared" si="2"/>
        <v>34285.714285714283</v>
      </c>
      <c r="CF11" s="78">
        <f t="shared" si="2"/>
        <v>117857.14285714286</v>
      </c>
      <c r="CG11" s="78">
        <f t="shared" si="2"/>
        <v>585238.09523809527</v>
      </c>
      <c r="CH11" s="78">
        <f t="shared" si="2"/>
        <v>8571.4285714285706</v>
      </c>
      <c r="CI11" s="78">
        <f t="shared" si="2"/>
        <v>654523.80952380958</v>
      </c>
      <c r="CJ11" s="78">
        <f t="shared" si="2"/>
        <v>90000000</v>
      </c>
      <c r="CK11" s="78">
        <f>C11-CJ11</f>
        <v>0</v>
      </c>
    </row>
    <row r="12" spans="1:89" s="174" customFormat="1" x14ac:dyDescent="0.2">
      <c r="A12" s="172" t="str">
        <f>+'4. CC D'!A9</f>
        <v>1.</v>
      </c>
      <c r="B12" s="173" t="str">
        <f>+'4. CC D'!B9</f>
        <v>Componente Unico Obras civiles</v>
      </c>
      <c r="C12" s="83">
        <f>+'3. PEP'!G26</f>
        <v>85000000</v>
      </c>
      <c r="D12" s="83">
        <f t="shared" ref="D12:AI12" si="3">+D13+D18</f>
        <v>0</v>
      </c>
      <c r="E12" s="83">
        <f t="shared" si="3"/>
        <v>0</v>
      </c>
      <c r="F12" s="83">
        <f t="shared" si="3"/>
        <v>0</v>
      </c>
      <c r="G12" s="83">
        <f t="shared" si="3"/>
        <v>0</v>
      </c>
      <c r="H12" s="83">
        <f t="shared" si="3"/>
        <v>0</v>
      </c>
      <c r="I12" s="83">
        <f t="shared" si="3"/>
        <v>0</v>
      </c>
      <c r="J12" s="83">
        <f t="shared" si="3"/>
        <v>0</v>
      </c>
      <c r="K12" s="83">
        <f t="shared" si="3"/>
        <v>0</v>
      </c>
      <c r="L12" s="83">
        <f t="shared" si="3"/>
        <v>0</v>
      </c>
      <c r="M12" s="83">
        <f t="shared" si="3"/>
        <v>0</v>
      </c>
      <c r="N12" s="83">
        <f t="shared" si="3"/>
        <v>0</v>
      </c>
      <c r="O12" s="83">
        <f t="shared" si="3"/>
        <v>7730000</v>
      </c>
      <c r="P12" s="83">
        <f t="shared" si="3"/>
        <v>2147000</v>
      </c>
      <c r="Q12" s="83">
        <f t="shared" si="3"/>
        <v>972150</v>
      </c>
      <c r="R12" s="83">
        <f t="shared" si="3"/>
        <v>1127300</v>
      </c>
      <c r="S12" s="83">
        <f t="shared" si="3"/>
        <v>1348966.6666666667</v>
      </c>
      <c r="T12" s="83">
        <f t="shared" si="3"/>
        <v>1282450</v>
      </c>
      <c r="U12" s="83">
        <f t="shared" si="3"/>
        <v>1437600</v>
      </c>
      <c r="V12" s="83">
        <f t="shared" si="3"/>
        <v>1659266.6666666667</v>
      </c>
      <c r="W12" s="83">
        <f t="shared" si="3"/>
        <v>1592750</v>
      </c>
      <c r="X12" s="83">
        <f t="shared" si="3"/>
        <v>1747900</v>
      </c>
      <c r="Y12" s="83">
        <f t="shared" si="3"/>
        <v>1969566.6666666667</v>
      </c>
      <c r="Z12" s="83">
        <f t="shared" si="3"/>
        <v>1747900</v>
      </c>
      <c r="AA12" s="83">
        <f t="shared" si="3"/>
        <v>1903050</v>
      </c>
      <c r="AB12" s="83">
        <f t="shared" si="3"/>
        <v>2435016.6666666665</v>
      </c>
      <c r="AC12" s="83">
        <f t="shared" si="3"/>
        <v>2213350</v>
      </c>
      <c r="AD12" s="83">
        <f t="shared" si="3"/>
        <v>2058200</v>
      </c>
      <c r="AE12" s="83">
        <f t="shared" si="3"/>
        <v>2279866.6666666665</v>
      </c>
      <c r="AF12" s="83">
        <f t="shared" si="3"/>
        <v>1592750</v>
      </c>
      <c r="AG12" s="83">
        <f t="shared" si="3"/>
        <v>1592750</v>
      </c>
      <c r="AH12" s="83">
        <f t="shared" si="3"/>
        <v>1504116.6666666667</v>
      </c>
      <c r="AI12" s="83">
        <f t="shared" si="3"/>
        <v>661850</v>
      </c>
      <c r="AJ12" s="83">
        <f t="shared" ref="AJ12:BO12" si="4">+AJ13+AJ18</f>
        <v>351550</v>
      </c>
      <c r="AK12" s="83">
        <f t="shared" si="4"/>
        <v>573216.66666666674</v>
      </c>
      <c r="AL12" s="83">
        <f t="shared" si="4"/>
        <v>351550</v>
      </c>
      <c r="AM12" s="83">
        <f t="shared" si="4"/>
        <v>351550</v>
      </c>
      <c r="AN12" s="83">
        <f t="shared" si="4"/>
        <v>7761666.666666666</v>
      </c>
      <c r="AO12" s="83">
        <f t="shared" si="4"/>
        <v>664000</v>
      </c>
      <c r="AP12" s="83">
        <f t="shared" si="4"/>
        <v>790050</v>
      </c>
      <c r="AQ12" s="83">
        <f t="shared" si="4"/>
        <v>1452766.6666666667</v>
      </c>
      <c r="AR12" s="83">
        <f t="shared" si="4"/>
        <v>916100</v>
      </c>
      <c r="AS12" s="83">
        <f t="shared" si="4"/>
        <v>1042150</v>
      </c>
      <c r="AT12" s="83">
        <f t="shared" si="4"/>
        <v>1704866.6666666667</v>
      </c>
      <c r="AU12" s="83">
        <f t="shared" si="4"/>
        <v>1168200</v>
      </c>
      <c r="AV12" s="83">
        <f t="shared" si="4"/>
        <v>1294250</v>
      </c>
      <c r="AW12" s="83">
        <f t="shared" si="4"/>
        <v>1956966.6666666667</v>
      </c>
      <c r="AX12" s="83">
        <f t="shared" si="4"/>
        <v>1420300</v>
      </c>
      <c r="AY12" s="83">
        <f t="shared" si="4"/>
        <v>1420300</v>
      </c>
      <c r="AZ12" s="83">
        <f t="shared" si="4"/>
        <v>2083016.6666666667</v>
      </c>
      <c r="BA12" s="83">
        <f t="shared" si="4"/>
        <v>1798450</v>
      </c>
      <c r="BB12" s="83">
        <f t="shared" si="4"/>
        <v>1798450</v>
      </c>
      <c r="BC12" s="83">
        <f t="shared" si="4"/>
        <v>2209066.666666667</v>
      </c>
      <c r="BD12" s="83">
        <f t="shared" si="4"/>
        <v>1672400</v>
      </c>
      <c r="BE12" s="83">
        <f t="shared" si="4"/>
        <v>1294250</v>
      </c>
      <c r="BF12" s="83">
        <f t="shared" si="4"/>
        <v>1830916.6666666667</v>
      </c>
      <c r="BG12" s="83">
        <f t="shared" si="4"/>
        <v>1042150</v>
      </c>
      <c r="BH12" s="83">
        <f t="shared" si="4"/>
        <v>537950</v>
      </c>
      <c r="BI12" s="83">
        <f t="shared" si="4"/>
        <v>822516.66666666674</v>
      </c>
      <c r="BJ12" s="83">
        <f t="shared" si="4"/>
        <v>285850</v>
      </c>
      <c r="BK12" s="83">
        <f t="shared" si="4"/>
        <v>285850</v>
      </c>
      <c r="BL12" s="83">
        <f t="shared" si="4"/>
        <v>822516.66666666674</v>
      </c>
      <c r="BM12" s="83">
        <f t="shared" si="4"/>
        <v>0</v>
      </c>
      <c r="BN12" s="83">
        <f t="shared" si="4"/>
        <v>0</v>
      </c>
      <c r="BO12" s="83">
        <f t="shared" si="4"/>
        <v>536666.66666666674</v>
      </c>
      <c r="BP12" s="83">
        <f t="shared" ref="BP12:CJ12" si="5">+BP13+BP18</f>
        <v>0</v>
      </c>
      <c r="BQ12" s="83">
        <f t="shared" si="5"/>
        <v>0</v>
      </c>
      <c r="BR12" s="83">
        <f t="shared" si="5"/>
        <v>536666.66666666674</v>
      </c>
      <c r="BS12" s="83">
        <f t="shared" si="5"/>
        <v>0</v>
      </c>
      <c r="BT12" s="83">
        <f t="shared" si="5"/>
        <v>0</v>
      </c>
      <c r="BU12" s="83">
        <f t="shared" si="5"/>
        <v>536666.66666666674</v>
      </c>
      <c r="BV12" s="83">
        <f t="shared" si="5"/>
        <v>0</v>
      </c>
      <c r="BW12" s="83">
        <f t="shared" si="5"/>
        <v>0</v>
      </c>
      <c r="BX12" s="83">
        <f t="shared" si="5"/>
        <v>536666.66666666674</v>
      </c>
      <c r="BY12" s="83">
        <f t="shared" si="5"/>
        <v>0</v>
      </c>
      <c r="BZ12" s="83">
        <f t="shared" si="5"/>
        <v>0</v>
      </c>
      <c r="CA12" s="83">
        <f t="shared" si="5"/>
        <v>536666.66666666674</v>
      </c>
      <c r="CB12" s="83">
        <f t="shared" si="5"/>
        <v>0</v>
      </c>
      <c r="CC12" s="83">
        <f t="shared" si="5"/>
        <v>0</v>
      </c>
      <c r="CD12" s="83">
        <f t="shared" si="5"/>
        <v>536666.66666666674</v>
      </c>
      <c r="CE12" s="83">
        <f t="shared" si="5"/>
        <v>0</v>
      </c>
      <c r="CF12" s="83">
        <f t="shared" si="5"/>
        <v>0</v>
      </c>
      <c r="CG12" s="83">
        <f t="shared" si="5"/>
        <v>536666.66666666674</v>
      </c>
      <c r="CH12" s="83">
        <f t="shared" si="5"/>
        <v>0</v>
      </c>
      <c r="CI12" s="83">
        <f t="shared" si="5"/>
        <v>536666.66666666674</v>
      </c>
      <c r="CJ12" s="83">
        <f t="shared" si="5"/>
        <v>85000000</v>
      </c>
    </row>
    <row r="13" spans="1:89" s="174" customFormat="1" x14ac:dyDescent="0.2">
      <c r="A13" s="97">
        <f>+'4. CC D'!A10</f>
        <v>1.1000000000000001</v>
      </c>
      <c r="B13" s="84" t="str">
        <f>+'4. CC D'!B10</f>
        <v>Producto 1: 117.5 km de carreteras mejoradas y rehabilitadas</v>
      </c>
      <c r="C13" s="87">
        <f>+'3. PEP'!G27</f>
        <v>72050000</v>
      </c>
      <c r="D13" s="87">
        <f>+D14+D15+D16+D17</f>
        <v>0</v>
      </c>
      <c r="E13" s="87">
        <f t="shared" ref="E13:BP13" si="6">+E14+E15+E16+E17</f>
        <v>0</v>
      </c>
      <c r="F13" s="87">
        <f t="shared" si="6"/>
        <v>0</v>
      </c>
      <c r="G13" s="87">
        <f t="shared" si="6"/>
        <v>0</v>
      </c>
      <c r="H13" s="87">
        <f t="shared" si="6"/>
        <v>0</v>
      </c>
      <c r="I13" s="87">
        <f t="shared" si="6"/>
        <v>0</v>
      </c>
      <c r="J13" s="87">
        <f t="shared" si="6"/>
        <v>0</v>
      </c>
      <c r="K13" s="87">
        <f t="shared" si="6"/>
        <v>0</v>
      </c>
      <c r="L13" s="87">
        <f t="shared" si="6"/>
        <v>0</v>
      </c>
      <c r="M13" s="87">
        <f t="shared" si="6"/>
        <v>0</v>
      </c>
      <c r="N13" s="87">
        <f t="shared" si="6"/>
        <v>0</v>
      </c>
      <c r="O13" s="87">
        <f t="shared" si="6"/>
        <v>7730000</v>
      </c>
      <c r="P13" s="87">
        <f t="shared" si="6"/>
        <v>817000</v>
      </c>
      <c r="Q13" s="87">
        <f t="shared" si="6"/>
        <v>972150</v>
      </c>
      <c r="R13" s="87">
        <f t="shared" si="6"/>
        <v>1127300</v>
      </c>
      <c r="S13" s="87">
        <f t="shared" si="6"/>
        <v>1127300</v>
      </c>
      <c r="T13" s="87">
        <f t="shared" si="6"/>
        <v>1282450</v>
      </c>
      <c r="U13" s="87">
        <f t="shared" si="6"/>
        <v>1437600</v>
      </c>
      <c r="V13" s="87">
        <f t="shared" si="6"/>
        <v>1437600</v>
      </c>
      <c r="W13" s="87">
        <f t="shared" si="6"/>
        <v>1592750</v>
      </c>
      <c r="X13" s="87">
        <f t="shared" si="6"/>
        <v>1747900</v>
      </c>
      <c r="Y13" s="87">
        <f t="shared" si="6"/>
        <v>1747900</v>
      </c>
      <c r="Z13" s="87">
        <f t="shared" si="6"/>
        <v>1747900</v>
      </c>
      <c r="AA13" s="87">
        <f t="shared" si="6"/>
        <v>1903050</v>
      </c>
      <c r="AB13" s="87">
        <f t="shared" si="6"/>
        <v>2213350</v>
      </c>
      <c r="AC13" s="87">
        <f t="shared" si="6"/>
        <v>2213350</v>
      </c>
      <c r="AD13" s="87">
        <f t="shared" si="6"/>
        <v>2058200</v>
      </c>
      <c r="AE13" s="87">
        <f t="shared" si="6"/>
        <v>2058200</v>
      </c>
      <c r="AF13" s="87">
        <f t="shared" si="6"/>
        <v>1592750</v>
      </c>
      <c r="AG13" s="87">
        <f t="shared" si="6"/>
        <v>1592750</v>
      </c>
      <c r="AH13" s="87">
        <f t="shared" si="6"/>
        <v>1282450</v>
      </c>
      <c r="AI13" s="87">
        <f t="shared" si="6"/>
        <v>661850</v>
      </c>
      <c r="AJ13" s="87">
        <f t="shared" si="6"/>
        <v>351550</v>
      </c>
      <c r="AK13" s="87">
        <f t="shared" si="6"/>
        <v>351550</v>
      </c>
      <c r="AL13" s="87">
        <f t="shared" si="6"/>
        <v>351550</v>
      </c>
      <c r="AM13" s="87">
        <f t="shared" si="6"/>
        <v>351550</v>
      </c>
      <c r="AN13" s="87">
        <f t="shared" si="6"/>
        <v>6280000</v>
      </c>
      <c r="AO13" s="87">
        <f t="shared" si="6"/>
        <v>664000</v>
      </c>
      <c r="AP13" s="87">
        <f t="shared" si="6"/>
        <v>790050</v>
      </c>
      <c r="AQ13" s="87">
        <f t="shared" si="6"/>
        <v>916100</v>
      </c>
      <c r="AR13" s="87">
        <f t="shared" si="6"/>
        <v>916100</v>
      </c>
      <c r="AS13" s="87">
        <f t="shared" si="6"/>
        <v>1042150</v>
      </c>
      <c r="AT13" s="87">
        <f t="shared" si="6"/>
        <v>1168200</v>
      </c>
      <c r="AU13" s="87">
        <f t="shared" si="6"/>
        <v>1168200</v>
      </c>
      <c r="AV13" s="87">
        <f t="shared" si="6"/>
        <v>1294250</v>
      </c>
      <c r="AW13" s="87">
        <f t="shared" si="6"/>
        <v>1420300</v>
      </c>
      <c r="AX13" s="87">
        <f t="shared" si="6"/>
        <v>1420300</v>
      </c>
      <c r="AY13" s="87">
        <f t="shared" si="6"/>
        <v>1420300</v>
      </c>
      <c r="AZ13" s="87">
        <f t="shared" si="6"/>
        <v>1546350</v>
      </c>
      <c r="BA13" s="87">
        <f t="shared" si="6"/>
        <v>1798450</v>
      </c>
      <c r="BB13" s="87">
        <f t="shared" si="6"/>
        <v>1798450</v>
      </c>
      <c r="BC13" s="87">
        <f t="shared" si="6"/>
        <v>1672400</v>
      </c>
      <c r="BD13" s="87">
        <f t="shared" si="6"/>
        <v>1672400</v>
      </c>
      <c r="BE13" s="87">
        <f t="shared" si="6"/>
        <v>1294250</v>
      </c>
      <c r="BF13" s="87">
        <f t="shared" si="6"/>
        <v>1294250</v>
      </c>
      <c r="BG13" s="87">
        <f t="shared" si="6"/>
        <v>1042150</v>
      </c>
      <c r="BH13" s="87">
        <f t="shared" si="6"/>
        <v>537950</v>
      </c>
      <c r="BI13" s="87">
        <f t="shared" si="6"/>
        <v>285850</v>
      </c>
      <c r="BJ13" s="87">
        <f t="shared" si="6"/>
        <v>285850</v>
      </c>
      <c r="BK13" s="87">
        <f t="shared" si="6"/>
        <v>285850</v>
      </c>
      <c r="BL13" s="87">
        <f t="shared" si="6"/>
        <v>285850</v>
      </c>
      <c r="BM13" s="87">
        <f t="shared" si="6"/>
        <v>0</v>
      </c>
      <c r="BN13" s="87">
        <f t="shared" si="6"/>
        <v>0</v>
      </c>
      <c r="BO13" s="87">
        <f t="shared" si="6"/>
        <v>0</v>
      </c>
      <c r="BP13" s="87">
        <f t="shared" si="6"/>
        <v>0</v>
      </c>
      <c r="BQ13" s="87">
        <f t="shared" ref="BQ13:CJ13" si="7">+BQ14+BQ15+BQ16+BQ17</f>
        <v>0</v>
      </c>
      <c r="BR13" s="87">
        <f t="shared" si="7"/>
        <v>0</v>
      </c>
      <c r="BS13" s="87">
        <f t="shared" si="7"/>
        <v>0</v>
      </c>
      <c r="BT13" s="87">
        <f t="shared" si="7"/>
        <v>0</v>
      </c>
      <c r="BU13" s="87">
        <f t="shared" si="7"/>
        <v>0</v>
      </c>
      <c r="BV13" s="87">
        <f t="shared" si="7"/>
        <v>0</v>
      </c>
      <c r="BW13" s="87">
        <f t="shared" si="7"/>
        <v>0</v>
      </c>
      <c r="BX13" s="87">
        <f t="shared" si="7"/>
        <v>0</v>
      </c>
      <c r="BY13" s="87">
        <f t="shared" si="7"/>
        <v>0</v>
      </c>
      <c r="BZ13" s="87">
        <f t="shared" si="7"/>
        <v>0</v>
      </c>
      <c r="CA13" s="87">
        <f t="shared" si="7"/>
        <v>0</v>
      </c>
      <c r="CB13" s="87">
        <f t="shared" si="7"/>
        <v>0</v>
      </c>
      <c r="CC13" s="87">
        <f t="shared" si="7"/>
        <v>0</v>
      </c>
      <c r="CD13" s="87">
        <f t="shared" si="7"/>
        <v>0</v>
      </c>
      <c r="CE13" s="87">
        <f t="shared" si="7"/>
        <v>0</v>
      </c>
      <c r="CF13" s="87">
        <f t="shared" si="7"/>
        <v>0</v>
      </c>
      <c r="CG13" s="87">
        <f t="shared" si="7"/>
        <v>0</v>
      </c>
      <c r="CH13" s="87">
        <f t="shared" si="7"/>
        <v>0</v>
      </c>
      <c r="CI13" s="87">
        <f t="shared" si="7"/>
        <v>0</v>
      </c>
      <c r="CJ13" s="87">
        <f t="shared" si="7"/>
        <v>72050000</v>
      </c>
    </row>
    <row r="14" spans="1:89" s="174" customFormat="1" ht="25.5" x14ac:dyDescent="0.2">
      <c r="A14" s="183" t="str">
        <f>+'4. CC D'!A11</f>
        <v>1.1.1</v>
      </c>
      <c r="B14" s="89" t="str">
        <f>+'4. CC D'!B11</f>
        <v>Contratación de Firma Constructora para el mejoramiento del tramo Ñumi-San Juan Nepomuceno (65,5 Km)</v>
      </c>
      <c r="C14" s="91">
        <f>+'3. PEP'!G28</f>
        <v>37550000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f>+'Ñumi SJN'!B52</f>
        <v>7510000</v>
      </c>
      <c r="P14" s="91">
        <f>+'Ñumi SJN'!C52</f>
        <v>751000</v>
      </c>
      <c r="Q14" s="91">
        <f>+'Ñumi SJN'!D52</f>
        <v>901200</v>
      </c>
      <c r="R14" s="91">
        <f>+'Ñumi SJN'!E52</f>
        <v>1051400</v>
      </c>
      <c r="S14" s="91">
        <f>+'Ñumi SJN'!F52</f>
        <v>1051400</v>
      </c>
      <c r="T14" s="91">
        <f>+'Ñumi SJN'!G52</f>
        <v>1201600</v>
      </c>
      <c r="U14" s="91">
        <f>+'Ñumi SJN'!H52</f>
        <v>1351800</v>
      </c>
      <c r="V14" s="91">
        <f>+'Ñumi SJN'!I52</f>
        <v>1351800</v>
      </c>
      <c r="W14" s="91">
        <f>+'Ñumi SJN'!J52</f>
        <v>1502000</v>
      </c>
      <c r="X14" s="91">
        <f>+'Ñumi SJN'!K52</f>
        <v>1652200</v>
      </c>
      <c r="Y14" s="91">
        <f>+'Ñumi SJN'!L52</f>
        <v>1652200</v>
      </c>
      <c r="Z14" s="91">
        <f>+'Ñumi SJN'!M52</f>
        <v>1652200</v>
      </c>
      <c r="AA14" s="91">
        <f>+'Ñumi SJN'!N52</f>
        <v>1802400</v>
      </c>
      <c r="AB14" s="91">
        <f>+'Ñumi SJN'!O52</f>
        <v>2102800</v>
      </c>
      <c r="AC14" s="91">
        <f>+'Ñumi SJN'!P52</f>
        <v>2102800</v>
      </c>
      <c r="AD14" s="91">
        <f>+'Ñumi SJN'!Q52</f>
        <v>1952600</v>
      </c>
      <c r="AE14" s="91">
        <f>+'Ñumi SJN'!R52</f>
        <v>1952600</v>
      </c>
      <c r="AF14" s="91">
        <f>+'Ñumi SJN'!S52</f>
        <v>1502000</v>
      </c>
      <c r="AG14" s="91">
        <f>+'Ñumi SJN'!T52</f>
        <v>1502000</v>
      </c>
      <c r="AH14" s="91">
        <f>+'Ñumi SJN'!U52</f>
        <v>1201600</v>
      </c>
      <c r="AI14" s="91">
        <f>+'Ñumi SJN'!V52</f>
        <v>600800</v>
      </c>
      <c r="AJ14" s="91">
        <f>+'Ñumi SJN'!W52</f>
        <v>300400</v>
      </c>
      <c r="AK14" s="91">
        <f>+'Ñumi SJN'!X52</f>
        <v>300400</v>
      </c>
      <c r="AL14" s="91">
        <f>+'Ñumi SJN'!Y52</f>
        <v>300400</v>
      </c>
      <c r="AM14" s="91">
        <f>+'Ñumi SJN'!Z52</f>
        <v>300400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1">
        <v>0</v>
      </c>
      <c r="BL14" s="91">
        <v>0</v>
      </c>
      <c r="BM14" s="91">
        <v>0</v>
      </c>
      <c r="BN14" s="91">
        <v>0</v>
      </c>
      <c r="BO14" s="91">
        <v>0</v>
      </c>
      <c r="BP14" s="91">
        <v>0</v>
      </c>
      <c r="BQ14" s="91">
        <v>0</v>
      </c>
      <c r="BR14" s="91">
        <v>0</v>
      </c>
      <c r="BS14" s="91">
        <v>0</v>
      </c>
      <c r="BT14" s="91">
        <v>0</v>
      </c>
      <c r="BU14" s="91">
        <v>0</v>
      </c>
      <c r="BV14" s="91">
        <v>0</v>
      </c>
      <c r="BW14" s="91">
        <v>0</v>
      </c>
      <c r="BX14" s="91">
        <v>0</v>
      </c>
      <c r="BY14" s="91">
        <v>0</v>
      </c>
      <c r="BZ14" s="91">
        <v>0</v>
      </c>
      <c r="CA14" s="91">
        <v>0</v>
      </c>
      <c r="CB14" s="91">
        <v>0</v>
      </c>
      <c r="CC14" s="91">
        <v>0</v>
      </c>
      <c r="CD14" s="91">
        <v>0</v>
      </c>
      <c r="CE14" s="91">
        <v>0</v>
      </c>
      <c r="CF14" s="91">
        <v>0</v>
      </c>
      <c r="CG14" s="91">
        <v>0</v>
      </c>
      <c r="CH14" s="91">
        <v>0</v>
      </c>
      <c r="CI14" s="91">
        <v>0</v>
      </c>
      <c r="CJ14" s="91">
        <f>SUM(D14:CI14)</f>
        <v>37550000</v>
      </c>
    </row>
    <row r="15" spans="1:89" s="174" customFormat="1" ht="25.5" x14ac:dyDescent="0.2">
      <c r="A15" s="183" t="str">
        <f>+'4. CC D'!A12</f>
        <v>1.1.2</v>
      </c>
      <c r="B15" s="89" t="str">
        <f>+'4. CC D'!B12</f>
        <v>Contratación de Firma Constructora para el mejoramiento y rehabilitación  del tramo Empalme R6 - Empalme corredor de Exportación (52 Km)</v>
      </c>
      <c r="C15" s="91">
        <f>+'3. PEP'!G29</f>
        <v>30500000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f>+'ER6-frt-ECE'!B51</f>
        <v>6100000</v>
      </c>
      <c r="AO15" s="91">
        <f>+'ER6-frt-ECE'!C51</f>
        <v>610000</v>
      </c>
      <c r="AP15" s="91">
        <f>+'ER6-frt-ECE'!D51</f>
        <v>732000</v>
      </c>
      <c r="AQ15" s="91">
        <f>+'ER6-frt-ECE'!E51</f>
        <v>854000</v>
      </c>
      <c r="AR15" s="91">
        <f>+'ER6-frt-ECE'!F51</f>
        <v>854000</v>
      </c>
      <c r="AS15" s="91">
        <f>+'ER6-frt-ECE'!G51</f>
        <v>976000</v>
      </c>
      <c r="AT15" s="91">
        <f>+'ER6-frt-ECE'!H51</f>
        <v>1098000</v>
      </c>
      <c r="AU15" s="91">
        <f>+'ER6-frt-ECE'!I51</f>
        <v>1098000</v>
      </c>
      <c r="AV15" s="91">
        <f>+'ER6-frt-ECE'!J51</f>
        <v>1220000</v>
      </c>
      <c r="AW15" s="91">
        <f>+'ER6-frt-ECE'!K51</f>
        <v>1342000</v>
      </c>
      <c r="AX15" s="91">
        <f>+'ER6-frt-ECE'!L51</f>
        <v>1342000</v>
      </c>
      <c r="AY15" s="91">
        <f>+'ER6-frt-ECE'!M51</f>
        <v>1342000</v>
      </c>
      <c r="AZ15" s="91">
        <f>+'ER6-frt-ECE'!N51</f>
        <v>1464000</v>
      </c>
      <c r="BA15" s="91">
        <f>+'ER6-frt-ECE'!O51</f>
        <v>1708000</v>
      </c>
      <c r="BB15" s="91">
        <f>+'ER6-frt-ECE'!P51</f>
        <v>1708000</v>
      </c>
      <c r="BC15" s="91">
        <f>+'ER6-frt-ECE'!Q51</f>
        <v>1586000</v>
      </c>
      <c r="BD15" s="91">
        <f>+'ER6-frt-ECE'!R51</f>
        <v>1586000</v>
      </c>
      <c r="BE15" s="91">
        <f>+'ER6-frt-ECE'!S51</f>
        <v>1220000</v>
      </c>
      <c r="BF15" s="91">
        <f>+'ER6-frt-ECE'!T51</f>
        <v>1220000</v>
      </c>
      <c r="BG15" s="91">
        <f>+'ER6-frt-ECE'!U51</f>
        <v>976000</v>
      </c>
      <c r="BH15" s="91">
        <f>+'ER6-frt-ECE'!V51</f>
        <v>488000</v>
      </c>
      <c r="BI15" s="91">
        <f>+'ER6-frt-ECE'!W51</f>
        <v>244000</v>
      </c>
      <c r="BJ15" s="91">
        <f>+'ER6-frt-ECE'!X51</f>
        <v>244000</v>
      </c>
      <c r="BK15" s="91">
        <f>+'ER6-frt-ECE'!Y51</f>
        <v>244000</v>
      </c>
      <c r="BL15" s="91">
        <f>+'ER6-frt-ECE'!Z51</f>
        <v>244000</v>
      </c>
      <c r="BM15" s="91">
        <v>0</v>
      </c>
      <c r="BN15" s="91">
        <f>+'ER6-frt-ECE'!AB51</f>
        <v>0</v>
      </c>
      <c r="BO15" s="91">
        <f>+'ER6-frt-ECE'!AC51</f>
        <v>0</v>
      </c>
      <c r="BP15" s="91">
        <f>+'ER6-frt-ECE'!AD51</f>
        <v>0</v>
      </c>
      <c r="BQ15" s="91">
        <f>+'ER6-frt-ECE'!AE51</f>
        <v>0</v>
      </c>
      <c r="BR15" s="91">
        <f>+'ER6-frt-ECE'!AF51</f>
        <v>0</v>
      </c>
      <c r="BS15" s="91">
        <f>+'ER6-frt-ECE'!AG51</f>
        <v>0</v>
      </c>
      <c r="BT15" s="91">
        <f>+'ER6-frt-ECE'!AH51</f>
        <v>0</v>
      </c>
      <c r="BU15" s="91">
        <f>+'ER6-frt-ECE'!AI51</f>
        <v>0</v>
      </c>
      <c r="BV15" s="91">
        <v>0</v>
      </c>
      <c r="BW15" s="91">
        <v>0</v>
      </c>
      <c r="BX15" s="91">
        <v>0</v>
      </c>
      <c r="BY15" s="91">
        <v>0</v>
      </c>
      <c r="BZ15" s="91">
        <v>0</v>
      </c>
      <c r="CA15" s="91">
        <v>0</v>
      </c>
      <c r="CB15" s="91">
        <v>0</v>
      </c>
      <c r="CC15" s="91">
        <v>0</v>
      </c>
      <c r="CD15" s="91">
        <v>0</v>
      </c>
      <c r="CE15" s="91">
        <v>0</v>
      </c>
      <c r="CF15" s="91">
        <v>0</v>
      </c>
      <c r="CG15" s="91">
        <v>0</v>
      </c>
      <c r="CH15" s="91">
        <v>0</v>
      </c>
      <c r="CI15" s="91">
        <v>0</v>
      </c>
      <c r="CJ15" s="91">
        <f t="shared" ref="CJ15:CJ17" si="8">SUM(D15:CI15)</f>
        <v>30500000</v>
      </c>
    </row>
    <row r="16" spans="1:89" s="174" customFormat="1" ht="25.5" x14ac:dyDescent="0.2">
      <c r="A16" s="183" t="str">
        <f>+'4. CC D'!A13</f>
        <v>1.1.3</v>
      </c>
      <c r="B16" s="89" t="str">
        <f>+'4. CC D'!B13</f>
        <v>Contratación de Firma Consultora para Fiscalización del Mejoramiento del tramo Ñumi-San Juan Nepomuceno (65.5 Km)</v>
      </c>
      <c r="C16" s="91">
        <f>+'3. PEP'!G30</f>
        <v>2200000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f>+'Fisc ñumi SJN'!B59</f>
        <v>220000</v>
      </c>
      <c r="P16" s="91">
        <f>+'Fisc ñumi SJN'!C59</f>
        <v>66000</v>
      </c>
      <c r="Q16" s="91">
        <f>+'Fisc ñumi SJN'!D59</f>
        <v>70950</v>
      </c>
      <c r="R16" s="91">
        <f>+'Fisc ñumi SJN'!E59</f>
        <v>75900</v>
      </c>
      <c r="S16" s="91">
        <f>+'Fisc ñumi SJN'!F59</f>
        <v>75900</v>
      </c>
      <c r="T16" s="91">
        <f>+'Fisc ñumi SJN'!G59</f>
        <v>80850</v>
      </c>
      <c r="U16" s="91">
        <f>+'Fisc ñumi SJN'!H59</f>
        <v>85800</v>
      </c>
      <c r="V16" s="91">
        <f>+'Fisc ñumi SJN'!I59</f>
        <v>85800</v>
      </c>
      <c r="W16" s="91">
        <f>+'Fisc ñumi SJN'!J59</f>
        <v>90750</v>
      </c>
      <c r="X16" s="91">
        <f>+'Fisc ñumi SJN'!K59</f>
        <v>95700</v>
      </c>
      <c r="Y16" s="91">
        <f>+'Fisc ñumi SJN'!L59</f>
        <v>95700</v>
      </c>
      <c r="Z16" s="91">
        <f>+'Fisc ñumi SJN'!M59</f>
        <v>95700</v>
      </c>
      <c r="AA16" s="91">
        <f>+'Fisc ñumi SJN'!N59</f>
        <v>100650</v>
      </c>
      <c r="AB16" s="91">
        <f>+'Fisc ñumi SJN'!O59</f>
        <v>110550</v>
      </c>
      <c r="AC16" s="91">
        <f>+'Fisc ñumi SJN'!P59</f>
        <v>110550</v>
      </c>
      <c r="AD16" s="91">
        <f>+'Fisc ñumi SJN'!Q59</f>
        <v>105600</v>
      </c>
      <c r="AE16" s="91">
        <f>+'Fisc ñumi SJN'!R59</f>
        <v>105600</v>
      </c>
      <c r="AF16" s="91">
        <f>+'Fisc ñumi SJN'!S59</f>
        <v>90750</v>
      </c>
      <c r="AG16" s="91">
        <f>+'Fisc ñumi SJN'!T59</f>
        <v>90750</v>
      </c>
      <c r="AH16" s="91">
        <f>+'Fisc ñumi SJN'!U59</f>
        <v>80850</v>
      </c>
      <c r="AI16" s="91">
        <f>+'Fisc ñumi SJN'!V59</f>
        <v>61050</v>
      </c>
      <c r="AJ16" s="91">
        <f>+'Fisc ñumi SJN'!W59</f>
        <v>51150</v>
      </c>
      <c r="AK16" s="91">
        <f>+'Fisc ñumi SJN'!X59</f>
        <v>51150</v>
      </c>
      <c r="AL16" s="91">
        <f>+'Fisc ñumi SJN'!Y59</f>
        <v>51150</v>
      </c>
      <c r="AM16" s="91">
        <f>+'Fisc ñumi SJN'!Z59</f>
        <v>51150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0</v>
      </c>
      <c r="BB16" s="91">
        <v>0</v>
      </c>
      <c r="BC16" s="91">
        <v>0</v>
      </c>
      <c r="BD16" s="91">
        <v>0</v>
      </c>
      <c r="BE16" s="91">
        <v>0</v>
      </c>
      <c r="BF16" s="91">
        <v>0</v>
      </c>
      <c r="BG16" s="91">
        <v>0</v>
      </c>
      <c r="BH16" s="91">
        <v>0</v>
      </c>
      <c r="BI16" s="91">
        <v>0</v>
      </c>
      <c r="BJ16" s="91">
        <v>0</v>
      </c>
      <c r="BK16" s="91">
        <v>0</v>
      </c>
      <c r="BL16" s="91">
        <v>0</v>
      </c>
      <c r="BM16" s="91">
        <v>0</v>
      </c>
      <c r="BN16" s="91">
        <v>0</v>
      </c>
      <c r="BO16" s="91">
        <v>0</v>
      </c>
      <c r="BP16" s="91">
        <v>0</v>
      </c>
      <c r="BQ16" s="91">
        <v>0</v>
      </c>
      <c r="BR16" s="91">
        <v>0</v>
      </c>
      <c r="BS16" s="91">
        <v>0</v>
      </c>
      <c r="BT16" s="91">
        <v>0</v>
      </c>
      <c r="BU16" s="91">
        <v>0</v>
      </c>
      <c r="BV16" s="91">
        <v>0</v>
      </c>
      <c r="BW16" s="91">
        <v>0</v>
      </c>
      <c r="BX16" s="91">
        <v>0</v>
      </c>
      <c r="BY16" s="91">
        <v>0</v>
      </c>
      <c r="BZ16" s="91">
        <v>0</v>
      </c>
      <c r="CA16" s="91">
        <v>0</v>
      </c>
      <c r="CB16" s="91">
        <v>0</v>
      </c>
      <c r="CC16" s="91">
        <v>0</v>
      </c>
      <c r="CD16" s="91">
        <v>0</v>
      </c>
      <c r="CE16" s="91">
        <v>0</v>
      </c>
      <c r="CF16" s="91">
        <v>0</v>
      </c>
      <c r="CG16" s="91">
        <v>0</v>
      </c>
      <c r="CH16" s="91">
        <v>0</v>
      </c>
      <c r="CI16" s="91">
        <v>0</v>
      </c>
      <c r="CJ16" s="91">
        <f t="shared" si="8"/>
        <v>2200000</v>
      </c>
    </row>
    <row r="17" spans="1:88" s="174" customFormat="1" ht="25.5" x14ac:dyDescent="0.2">
      <c r="A17" s="183" t="str">
        <f>+'4. CC D'!A14</f>
        <v>1.1.4</v>
      </c>
      <c r="B17" s="89" t="str">
        <f>+'4. CC D'!B14</f>
        <v>Contratación de Firma Consultora para Fiscalización de obra de mejoramiento y rehabilitación del tramo Empalme R6 - Empalme Corredor de Exportación (52 Km)</v>
      </c>
      <c r="C17" s="91">
        <f>+'3. PEP'!G31</f>
        <v>1800000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f>+'Fisc ER6-ECE'!B59</f>
        <v>180000</v>
      </c>
      <c r="AO17" s="91">
        <f>+'Fisc ER6-ECE'!C59</f>
        <v>54000</v>
      </c>
      <c r="AP17" s="91">
        <f>+'Fisc ER6-ECE'!D59</f>
        <v>58050</v>
      </c>
      <c r="AQ17" s="91">
        <f>+'Fisc ER6-ECE'!E59</f>
        <v>62100</v>
      </c>
      <c r="AR17" s="91">
        <f>+'Fisc ER6-ECE'!F59</f>
        <v>62100</v>
      </c>
      <c r="AS17" s="91">
        <f>+'Fisc ER6-ECE'!G59</f>
        <v>66150</v>
      </c>
      <c r="AT17" s="91">
        <f>+'Fisc ER6-ECE'!H59</f>
        <v>70200</v>
      </c>
      <c r="AU17" s="91">
        <f>+'Fisc ER6-ECE'!I59</f>
        <v>70200</v>
      </c>
      <c r="AV17" s="91">
        <f>+'Fisc ER6-ECE'!J59</f>
        <v>74250</v>
      </c>
      <c r="AW17" s="91">
        <f>+'Fisc ER6-ECE'!K59</f>
        <v>78300</v>
      </c>
      <c r="AX17" s="91">
        <f>+'Fisc ER6-ECE'!L59</f>
        <v>78300</v>
      </c>
      <c r="AY17" s="91">
        <f>+'Fisc ER6-ECE'!M59</f>
        <v>78300</v>
      </c>
      <c r="AZ17" s="91">
        <f>+'Fisc ER6-ECE'!N59</f>
        <v>82350</v>
      </c>
      <c r="BA17" s="91">
        <f>+'Fisc ER6-ECE'!O59</f>
        <v>90450</v>
      </c>
      <c r="BB17" s="91">
        <f>+'Fisc ER6-ECE'!P59</f>
        <v>90450</v>
      </c>
      <c r="BC17" s="91">
        <f>+'Fisc ER6-ECE'!Q59</f>
        <v>86400</v>
      </c>
      <c r="BD17" s="91">
        <f>+'Fisc ER6-ECE'!R59</f>
        <v>86400</v>
      </c>
      <c r="BE17" s="91">
        <f>+'Fisc ER6-ECE'!S59</f>
        <v>74250</v>
      </c>
      <c r="BF17" s="91">
        <f>+'Fisc ER6-ECE'!T59</f>
        <v>74250</v>
      </c>
      <c r="BG17" s="91">
        <f>+'Fisc ER6-ECE'!U59</f>
        <v>66150</v>
      </c>
      <c r="BH17" s="91">
        <f>+'Fisc ER6-ECE'!V59</f>
        <v>49950</v>
      </c>
      <c r="BI17" s="91">
        <f>+'Fisc ER6-ECE'!W59</f>
        <v>41850</v>
      </c>
      <c r="BJ17" s="91">
        <f>+'Fisc ER6-ECE'!X59</f>
        <v>41850</v>
      </c>
      <c r="BK17" s="91">
        <f>+'Fisc ER6-ECE'!Y59</f>
        <v>41850</v>
      </c>
      <c r="BL17" s="91">
        <f>+'Fisc ER6-ECE'!Z59</f>
        <v>41850</v>
      </c>
      <c r="BM17" s="91">
        <v>0</v>
      </c>
      <c r="BN17" s="91">
        <v>0</v>
      </c>
      <c r="BO17" s="91">
        <v>0</v>
      </c>
      <c r="BP17" s="91">
        <v>0</v>
      </c>
      <c r="BQ17" s="91">
        <v>0</v>
      </c>
      <c r="BR17" s="91">
        <v>0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</v>
      </c>
      <c r="BZ17" s="91">
        <v>0</v>
      </c>
      <c r="CA17" s="91">
        <v>0</v>
      </c>
      <c r="CB17" s="91">
        <v>0</v>
      </c>
      <c r="CC17" s="91">
        <v>0</v>
      </c>
      <c r="CD17" s="91">
        <v>0</v>
      </c>
      <c r="CE17" s="91">
        <v>0</v>
      </c>
      <c r="CF17" s="91">
        <v>0</v>
      </c>
      <c r="CG17" s="91">
        <v>0</v>
      </c>
      <c r="CH17" s="91">
        <v>0</v>
      </c>
      <c r="CI17" s="91">
        <v>0</v>
      </c>
      <c r="CJ17" s="91">
        <f t="shared" si="8"/>
        <v>1800000</v>
      </c>
    </row>
    <row r="18" spans="1:88" s="174" customFormat="1" x14ac:dyDescent="0.2">
      <c r="A18" s="97" t="str">
        <f>+'3. PEP'!A32</f>
        <v>1.2</v>
      </c>
      <c r="B18" s="84" t="str">
        <f>+'3. PEP'!B32</f>
        <v>Producto 2: 267 km de carretera conservados</v>
      </c>
      <c r="C18" s="100">
        <f>+'3. PEP'!G32</f>
        <v>12950000</v>
      </c>
      <c r="D18" s="100">
        <f>+D19+D20+D21+D22</f>
        <v>0</v>
      </c>
      <c r="E18" s="100">
        <f>+E19+E20+E21+E22</f>
        <v>0</v>
      </c>
      <c r="F18" s="100">
        <f t="shared" ref="F18" si="9">+F19+F20+F21+F22</f>
        <v>0</v>
      </c>
      <c r="G18" s="100">
        <f t="shared" ref="G18" si="10">+G19+G20+G21+G22</f>
        <v>0</v>
      </c>
      <c r="H18" s="100">
        <f t="shared" ref="H18" si="11">+H19+H20+H21+H22</f>
        <v>0</v>
      </c>
      <c r="I18" s="100">
        <f t="shared" ref="I18" si="12">+I19+I20+I21+I22</f>
        <v>0</v>
      </c>
      <c r="J18" s="100">
        <f t="shared" ref="J18" si="13">+J19+J20+J21+J22</f>
        <v>0</v>
      </c>
      <c r="K18" s="100">
        <f t="shared" ref="K18" si="14">+K19+K20+K21+K22</f>
        <v>0</v>
      </c>
      <c r="L18" s="100">
        <f t="shared" ref="L18" si="15">+L19+L20+L21+L22</f>
        <v>0</v>
      </c>
      <c r="M18" s="100">
        <f t="shared" ref="M18" si="16">+M19+M20+M21+M22</f>
        <v>0</v>
      </c>
      <c r="N18" s="100">
        <f t="shared" ref="N18" si="17">+N19+N20+N21+N22</f>
        <v>0</v>
      </c>
      <c r="O18" s="100">
        <f t="shared" ref="O18" si="18">+O19+O20+O21+O22</f>
        <v>0</v>
      </c>
      <c r="P18" s="100">
        <f t="shared" ref="P18" si="19">+P19+P20+P21+P22</f>
        <v>1330000</v>
      </c>
      <c r="Q18" s="100">
        <f t="shared" ref="Q18" si="20">+Q19+Q20+Q21+Q22</f>
        <v>0</v>
      </c>
      <c r="R18" s="100">
        <f t="shared" ref="R18" si="21">+R19+R20+R21+R22</f>
        <v>0</v>
      </c>
      <c r="S18" s="100">
        <f t="shared" ref="S18" si="22">+S19+S20+S21+S22</f>
        <v>221666.66666666669</v>
      </c>
      <c r="T18" s="100">
        <f t="shared" ref="T18" si="23">+T19+T20+T21+T22</f>
        <v>0</v>
      </c>
      <c r="U18" s="100">
        <f t="shared" ref="U18" si="24">+U19+U20+U21+U22</f>
        <v>0</v>
      </c>
      <c r="V18" s="100">
        <f t="shared" ref="V18" si="25">+V19+V20+V21+V22</f>
        <v>221666.66666666669</v>
      </c>
      <c r="W18" s="100">
        <f t="shared" ref="W18" si="26">+W19+W20+W21+W22</f>
        <v>0</v>
      </c>
      <c r="X18" s="100">
        <f t="shared" ref="X18" si="27">+X19+X20+X21+X22</f>
        <v>0</v>
      </c>
      <c r="Y18" s="100">
        <f t="shared" ref="Y18" si="28">+Y19+Y20+Y21+Y22</f>
        <v>221666.66666666669</v>
      </c>
      <c r="Z18" s="100">
        <f t="shared" ref="Z18" si="29">+Z19+Z20+Z21+Z22</f>
        <v>0</v>
      </c>
      <c r="AA18" s="100">
        <f t="shared" ref="AA18" si="30">+AA19+AA20+AA21+AA22</f>
        <v>0</v>
      </c>
      <c r="AB18" s="100">
        <f t="shared" ref="AB18" si="31">+AB19+AB20+AB21+AB22</f>
        <v>221666.66666666669</v>
      </c>
      <c r="AC18" s="100">
        <f t="shared" ref="AC18" si="32">+AC19+AC20+AC21+AC22</f>
        <v>0</v>
      </c>
      <c r="AD18" s="100">
        <f t="shared" ref="AD18" si="33">+AD19+AD20+AD21+AD22</f>
        <v>0</v>
      </c>
      <c r="AE18" s="100">
        <f t="shared" ref="AE18" si="34">+AE19+AE20+AE21+AE22</f>
        <v>221666.66666666669</v>
      </c>
      <c r="AF18" s="100">
        <f t="shared" ref="AF18" si="35">+AF19+AF20+AF21+AF22</f>
        <v>0</v>
      </c>
      <c r="AG18" s="100">
        <f t="shared" ref="AG18" si="36">+AG19+AG20+AG21+AG22</f>
        <v>0</v>
      </c>
      <c r="AH18" s="100">
        <f t="shared" ref="AH18" si="37">+AH19+AH20+AH21+AH22</f>
        <v>221666.66666666669</v>
      </c>
      <c r="AI18" s="100">
        <f t="shared" ref="AI18" si="38">+AI19+AI20+AI21+AI22</f>
        <v>0</v>
      </c>
      <c r="AJ18" s="100">
        <f t="shared" ref="AJ18" si="39">+AJ19+AJ20+AJ21+AJ22</f>
        <v>0</v>
      </c>
      <c r="AK18" s="100">
        <f t="shared" ref="AK18" si="40">+AK19+AK20+AK21+AK22</f>
        <v>221666.66666666669</v>
      </c>
      <c r="AL18" s="100">
        <f t="shared" ref="AL18" si="41">+AL19+AL20+AL21+AL22</f>
        <v>0</v>
      </c>
      <c r="AM18" s="100">
        <f t="shared" ref="AM18" si="42">+AM19+AM20+AM21+AM22</f>
        <v>0</v>
      </c>
      <c r="AN18" s="100">
        <f t="shared" ref="AN18" si="43">+AN19+AN20+AN21+AN22</f>
        <v>1481666.6666666665</v>
      </c>
      <c r="AO18" s="100">
        <f t="shared" ref="AO18" si="44">+AO19+AO20+AO21+AO22</f>
        <v>0</v>
      </c>
      <c r="AP18" s="100">
        <f t="shared" ref="AP18" si="45">+AP19+AP20+AP21+AP22</f>
        <v>0</v>
      </c>
      <c r="AQ18" s="100">
        <f t="shared" ref="AQ18" si="46">+AQ19+AQ20+AQ21+AQ22</f>
        <v>536666.66666666674</v>
      </c>
      <c r="AR18" s="100">
        <f t="shared" ref="AR18" si="47">+AR19+AR20+AR21+AR22</f>
        <v>0</v>
      </c>
      <c r="AS18" s="100">
        <f t="shared" ref="AS18" si="48">+AS19+AS20+AS21+AS22</f>
        <v>0</v>
      </c>
      <c r="AT18" s="100">
        <f t="shared" ref="AT18" si="49">+AT19+AT20+AT21+AT22</f>
        <v>536666.66666666674</v>
      </c>
      <c r="AU18" s="100">
        <f t="shared" ref="AU18" si="50">+AU19+AU20+AU21+AU22</f>
        <v>0</v>
      </c>
      <c r="AV18" s="100">
        <f t="shared" ref="AV18" si="51">+AV19+AV20+AV21+AV22</f>
        <v>0</v>
      </c>
      <c r="AW18" s="100">
        <f t="shared" ref="AW18" si="52">+AW19+AW20+AW21+AW22</f>
        <v>536666.66666666674</v>
      </c>
      <c r="AX18" s="100">
        <f t="shared" ref="AX18" si="53">+AX19+AX20+AX21+AX22</f>
        <v>0</v>
      </c>
      <c r="AY18" s="100">
        <f t="shared" ref="AY18" si="54">+AY19+AY20+AY21+AY22</f>
        <v>0</v>
      </c>
      <c r="AZ18" s="100">
        <f t="shared" ref="AZ18" si="55">+AZ19+AZ20+AZ21+AZ22</f>
        <v>536666.66666666674</v>
      </c>
      <c r="BA18" s="100">
        <f t="shared" ref="BA18" si="56">+BA19+BA20+BA21+BA22</f>
        <v>0</v>
      </c>
      <c r="BB18" s="100">
        <f t="shared" ref="BB18" si="57">+BB19+BB20+BB21+BB22</f>
        <v>0</v>
      </c>
      <c r="BC18" s="100">
        <f t="shared" ref="BC18" si="58">+BC19+BC20+BC21+BC22</f>
        <v>536666.66666666674</v>
      </c>
      <c r="BD18" s="100">
        <f t="shared" ref="BD18" si="59">+BD19+BD20+BD21+BD22</f>
        <v>0</v>
      </c>
      <c r="BE18" s="100">
        <f t="shared" ref="BE18" si="60">+BE19+BE20+BE21+BE22</f>
        <v>0</v>
      </c>
      <c r="BF18" s="100">
        <f t="shared" ref="BF18" si="61">+BF19+BF20+BF21+BF22</f>
        <v>536666.66666666674</v>
      </c>
      <c r="BG18" s="100">
        <f t="shared" ref="BG18" si="62">+BG19+BG20+BG21+BG22</f>
        <v>0</v>
      </c>
      <c r="BH18" s="100">
        <f t="shared" ref="BH18" si="63">+BH19+BH20+BH21+BH22</f>
        <v>0</v>
      </c>
      <c r="BI18" s="100">
        <f t="shared" ref="BI18" si="64">+BI19+BI20+BI21+BI22</f>
        <v>536666.66666666674</v>
      </c>
      <c r="BJ18" s="100">
        <f t="shared" ref="BJ18" si="65">+BJ19+BJ20+BJ21+BJ22</f>
        <v>0</v>
      </c>
      <c r="BK18" s="100">
        <f t="shared" ref="BK18" si="66">+BK19+BK20+BK21+BK22</f>
        <v>0</v>
      </c>
      <c r="BL18" s="100">
        <f t="shared" ref="BL18" si="67">+BL19+BL20+BL21+BL22</f>
        <v>536666.66666666674</v>
      </c>
      <c r="BM18" s="100">
        <f t="shared" ref="BM18" si="68">+BM19+BM20+BM21+BM22</f>
        <v>0</v>
      </c>
      <c r="BN18" s="100">
        <f t="shared" ref="BN18" si="69">+BN19+BN20+BN21+BN22</f>
        <v>0</v>
      </c>
      <c r="BO18" s="100">
        <f t="shared" ref="BO18" si="70">+BO19+BO20+BO21+BO22</f>
        <v>536666.66666666674</v>
      </c>
      <c r="BP18" s="100">
        <f t="shared" ref="BP18" si="71">+BP19+BP20+BP21+BP22</f>
        <v>0</v>
      </c>
      <c r="BQ18" s="100">
        <f t="shared" ref="BQ18" si="72">+BQ19+BQ20+BQ21+BQ22</f>
        <v>0</v>
      </c>
      <c r="BR18" s="100">
        <f t="shared" ref="BR18" si="73">+BR19+BR20+BR21+BR22</f>
        <v>536666.66666666674</v>
      </c>
      <c r="BS18" s="100">
        <f t="shared" ref="BS18" si="74">+BS19+BS20+BS21+BS22</f>
        <v>0</v>
      </c>
      <c r="BT18" s="100">
        <f t="shared" ref="BT18" si="75">+BT19+BT20+BT21+BT22</f>
        <v>0</v>
      </c>
      <c r="BU18" s="100">
        <f t="shared" ref="BU18" si="76">+BU19+BU20+BU21+BU22</f>
        <v>536666.66666666674</v>
      </c>
      <c r="BV18" s="100">
        <f t="shared" ref="BV18" si="77">+BV19+BV20+BV21+BV22</f>
        <v>0</v>
      </c>
      <c r="BW18" s="100">
        <f t="shared" ref="BW18" si="78">+BW19+BW20+BW21+BW22</f>
        <v>0</v>
      </c>
      <c r="BX18" s="100">
        <f t="shared" ref="BX18" si="79">+BX19+BX20+BX21+BX22</f>
        <v>536666.66666666674</v>
      </c>
      <c r="BY18" s="100">
        <f t="shared" ref="BY18" si="80">+BY19+BY20+BY21+BY22</f>
        <v>0</v>
      </c>
      <c r="BZ18" s="100">
        <f t="shared" ref="BZ18" si="81">+BZ19+BZ20+BZ21+BZ22</f>
        <v>0</v>
      </c>
      <c r="CA18" s="100">
        <f t="shared" ref="CA18" si="82">+CA19+CA20+CA21+CA22</f>
        <v>536666.66666666674</v>
      </c>
      <c r="CB18" s="100">
        <f t="shared" ref="CB18" si="83">+CB19+CB20+CB21+CB22</f>
        <v>0</v>
      </c>
      <c r="CC18" s="100">
        <f t="shared" ref="CC18" si="84">+CC19+CC20+CC21+CC22</f>
        <v>0</v>
      </c>
      <c r="CD18" s="100">
        <f t="shared" ref="CD18" si="85">+CD19+CD20+CD21+CD22</f>
        <v>536666.66666666674</v>
      </c>
      <c r="CE18" s="100">
        <f t="shared" ref="CE18" si="86">+CE19+CE20+CE21+CE22</f>
        <v>0</v>
      </c>
      <c r="CF18" s="100">
        <f t="shared" ref="CF18" si="87">+CF19+CF20+CF21+CF22</f>
        <v>0</v>
      </c>
      <c r="CG18" s="100">
        <f t="shared" ref="CG18" si="88">+CG19+CG20+CG21+CG22</f>
        <v>536666.66666666674</v>
      </c>
      <c r="CH18" s="100">
        <f t="shared" ref="CH18" si="89">+CH19+CH20+CH21+CH22</f>
        <v>0</v>
      </c>
      <c r="CI18" s="100">
        <f t="shared" ref="CI18:CJ18" si="90">+CI19+CI20+CI21+CI22</f>
        <v>536666.66666666674</v>
      </c>
      <c r="CJ18" s="100">
        <f t="shared" si="90"/>
        <v>12949999.999999998</v>
      </c>
    </row>
    <row r="19" spans="1:88" s="174" customFormat="1" ht="25.5" x14ac:dyDescent="0.2">
      <c r="A19" s="88" t="str">
        <f>+'3. PEP'!A33</f>
        <v>1.2.1</v>
      </c>
      <c r="B19" s="95" t="str">
        <f>+'3. PEP'!B33</f>
        <v>Contratación de Firma Constructora para Obra de Conservación del Tramo Ñumi - Empalme R6  (147 km). Crema 1.1.1</v>
      </c>
      <c r="C19" s="91">
        <f>+'3. PEP'!G33</f>
        <v>6000000</v>
      </c>
      <c r="D19" s="91"/>
      <c r="E19" s="91">
        <v>0</v>
      </c>
      <c r="F19" s="91">
        <v>0</v>
      </c>
      <c r="G19" s="91">
        <v>0</v>
      </c>
      <c r="H19" s="91">
        <v>0</v>
      </c>
      <c r="I19" s="91">
        <v>0</v>
      </c>
      <c r="K19" s="91">
        <v>0</v>
      </c>
      <c r="L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f>+$C$19*0.2</f>
        <v>1200000</v>
      </c>
      <c r="AO19" s="91">
        <v>0</v>
      </c>
      <c r="AP19" s="91">
        <v>0</v>
      </c>
      <c r="AQ19" s="91">
        <f>+($C$19*0.8)/16</f>
        <v>300000</v>
      </c>
      <c r="AR19" s="91">
        <v>0</v>
      </c>
      <c r="AS19" s="91">
        <v>0</v>
      </c>
      <c r="AT19" s="91">
        <f>+($C$19*0.8)/16</f>
        <v>300000</v>
      </c>
      <c r="AU19" s="91">
        <v>0</v>
      </c>
      <c r="AV19" s="91">
        <v>0</v>
      </c>
      <c r="AW19" s="91">
        <f t="shared" ref="AW19" si="91">+($C$19*0.8)/16</f>
        <v>300000</v>
      </c>
      <c r="AX19" s="91">
        <v>0</v>
      </c>
      <c r="AY19" s="91">
        <v>0</v>
      </c>
      <c r="AZ19" s="91">
        <f t="shared" ref="AZ19" si="92">+($C$19*0.8)/16</f>
        <v>300000</v>
      </c>
      <c r="BA19" s="91">
        <v>0</v>
      </c>
      <c r="BB19" s="91">
        <v>0</v>
      </c>
      <c r="BC19" s="91">
        <f t="shared" ref="BC19" si="93">+($C$19*0.8)/16</f>
        <v>300000</v>
      </c>
      <c r="BD19" s="91">
        <v>0</v>
      </c>
      <c r="BE19" s="91">
        <v>0</v>
      </c>
      <c r="BF19" s="91">
        <f t="shared" ref="BF19" si="94">+($C$19*0.8)/16</f>
        <v>300000</v>
      </c>
      <c r="BG19" s="91">
        <v>0</v>
      </c>
      <c r="BH19" s="91">
        <v>0</v>
      </c>
      <c r="BI19" s="91">
        <f t="shared" ref="BI19" si="95">+($C$19*0.8)/16</f>
        <v>300000</v>
      </c>
      <c r="BJ19" s="91">
        <v>0</v>
      </c>
      <c r="BK19" s="91">
        <v>0</v>
      </c>
      <c r="BL19" s="91">
        <f t="shared" ref="BL19" si="96">+($C$19*0.8)/16</f>
        <v>300000</v>
      </c>
      <c r="BM19" s="91">
        <v>0</v>
      </c>
      <c r="BN19" s="91">
        <v>0</v>
      </c>
      <c r="BO19" s="91">
        <f>+($C$19*0.8)/16</f>
        <v>300000</v>
      </c>
      <c r="BP19" s="91">
        <v>0</v>
      </c>
      <c r="BQ19" s="91">
        <v>0</v>
      </c>
      <c r="BR19" s="91">
        <f>+($C$19*0.8)/16</f>
        <v>300000</v>
      </c>
      <c r="BS19" s="91">
        <v>0</v>
      </c>
      <c r="BT19" s="91">
        <v>0</v>
      </c>
      <c r="BU19" s="91">
        <f t="shared" ref="BU19" si="97">+($C$19*0.8)/16</f>
        <v>300000</v>
      </c>
      <c r="BV19" s="91">
        <v>0</v>
      </c>
      <c r="BW19" s="91">
        <v>0</v>
      </c>
      <c r="BX19" s="91">
        <f t="shared" ref="BX19" si="98">+($C$19*0.8)/16</f>
        <v>300000</v>
      </c>
      <c r="BY19" s="91">
        <v>0</v>
      </c>
      <c r="BZ19" s="91">
        <v>0</v>
      </c>
      <c r="CA19" s="91">
        <f t="shared" ref="CA19" si="99">+($C$19*0.8)/16</f>
        <v>300000</v>
      </c>
      <c r="CB19" s="91">
        <v>0</v>
      </c>
      <c r="CC19" s="91">
        <v>0</v>
      </c>
      <c r="CD19" s="91">
        <f t="shared" ref="CD19" si="100">+($C$19*0.8)/16</f>
        <v>300000</v>
      </c>
      <c r="CE19" s="91">
        <v>0</v>
      </c>
      <c r="CF19" s="91">
        <v>0</v>
      </c>
      <c r="CG19" s="91">
        <f t="shared" ref="CG19:CI19" si="101">+($C$19*0.8)/16</f>
        <v>300000</v>
      </c>
      <c r="CH19" s="91">
        <v>0</v>
      </c>
      <c r="CI19" s="91">
        <f t="shared" si="101"/>
        <v>300000</v>
      </c>
      <c r="CJ19" s="91">
        <f>SUM(D19:CI19)</f>
        <v>6000000</v>
      </c>
    </row>
    <row r="20" spans="1:88" s="174" customFormat="1" ht="25.5" x14ac:dyDescent="0.2">
      <c r="A20" s="88" t="str">
        <f>+'3. PEP'!A34</f>
        <v>1.2.2</v>
      </c>
      <c r="B20" s="95" t="str">
        <f>+'3. PEP'!B34</f>
        <v>Contratación de Firma Constructora para Obra de Conservación Ruta 13: Caaguazu- Empalme Ruta 10 (120 km)</v>
      </c>
      <c r="C20" s="91">
        <f>+'3. PEP'!G34</f>
        <v>6250000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f>+$C$20*0.2</f>
        <v>1250000</v>
      </c>
      <c r="Q20" s="91">
        <v>0</v>
      </c>
      <c r="R20" s="91">
        <v>0</v>
      </c>
      <c r="S20" s="91">
        <f>(+$C$20*0.8)/24</f>
        <v>208333.33333333334</v>
      </c>
      <c r="T20" s="91">
        <v>0</v>
      </c>
      <c r="U20" s="91">
        <v>0</v>
      </c>
      <c r="V20" s="91">
        <f>(+$C$20*0.8)/24</f>
        <v>208333.33333333334</v>
      </c>
      <c r="W20" s="91">
        <v>0</v>
      </c>
      <c r="X20" s="91">
        <v>0</v>
      </c>
      <c r="Y20" s="91">
        <f>(+$C$20*0.8)/24</f>
        <v>208333.33333333334</v>
      </c>
      <c r="Z20" s="91">
        <v>0</v>
      </c>
      <c r="AA20" s="91">
        <v>0</v>
      </c>
      <c r="AB20" s="91">
        <f>(+$C$20*0.8)/24</f>
        <v>208333.33333333334</v>
      </c>
      <c r="AC20" s="91">
        <v>0</v>
      </c>
      <c r="AD20" s="91">
        <v>0</v>
      </c>
      <c r="AE20" s="91">
        <f>(+$C$20*0.8)/24</f>
        <v>208333.33333333334</v>
      </c>
      <c r="AF20" s="91">
        <v>0</v>
      </c>
      <c r="AG20" s="91">
        <v>0</v>
      </c>
      <c r="AH20" s="91">
        <f>(+$C$20*0.8)/24</f>
        <v>208333.33333333334</v>
      </c>
      <c r="AI20" s="91">
        <v>0</v>
      </c>
      <c r="AJ20" s="91">
        <v>0</v>
      </c>
      <c r="AK20" s="91">
        <f>(+$C$20*0.8)/24</f>
        <v>208333.33333333334</v>
      </c>
      <c r="AL20" s="91">
        <v>0</v>
      </c>
      <c r="AM20" s="91">
        <v>0</v>
      </c>
      <c r="AN20" s="91">
        <f>(+$C$20*0.8)/24</f>
        <v>208333.33333333334</v>
      </c>
      <c r="AO20" s="91">
        <v>0</v>
      </c>
      <c r="AP20" s="91">
        <v>0</v>
      </c>
      <c r="AQ20" s="91">
        <f>(+$C$20*0.8)/24</f>
        <v>208333.33333333334</v>
      </c>
      <c r="AR20" s="91">
        <v>0</v>
      </c>
      <c r="AS20" s="91">
        <v>0</v>
      </c>
      <c r="AT20" s="91">
        <f>(+$C$20*0.8)/24</f>
        <v>208333.33333333334</v>
      </c>
      <c r="AU20" s="91">
        <v>0</v>
      </c>
      <c r="AV20" s="91">
        <v>0</v>
      </c>
      <c r="AW20" s="91">
        <f>(+$C$20*0.8)/24</f>
        <v>208333.33333333334</v>
      </c>
      <c r="AX20" s="91">
        <v>0</v>
      </c>
      <c r="AY20" s="91">
        <v>0</v>
      </c>
      <c r="AZ20" s="91">
        <f>(+$C$20*0.8)/24</f>
        <v>208333.33333333334</v>
      </c>
      <c r="BA20" s="91">
        <v>0</v>
      </c>
      <c r="BB20" s="91">
        <v>0</v>
      </c>
      <c r="BC20" s="91">
        <f>(+$C$20*0.8)/24</f>
        <v>208333.33333333334</v>
      </c>
      <c r="BD20" s="91">
        <v>0</v>
      </c>
      <c r="BE20" s="91">
        <v>0</v>
      </c>
      <c r="BF20" s="91">
        <f>(+$C$20*0.8)/24</f>
        <v>208333.33333333334</v>
      </c>
      <c r="BG20" s="91">
        <v>0</v>
      </c>
      <c r="BH20" s="91">
        <v>0</v>
      </c>
      <c r="BI20" s="91">
        <f>(+$C$20*0.8)/24</f>
        <v>208333.33333333334</v>
      </c>
      <c r="BJ20" s="91">
        <v>0</v>
      </c>
      <c r="BK20" s="91">
        <v>0</v>
      </c>
      <c r="BL20" s="91">
        <f>(+$C$20*0.8)/24</f>
        <v>208333.33333333334</v>
      </c>
      <c r="BM20" s="91">
        <v>0</v>
      </c>
      <c r="BN20" s="91">
        <v>0</v>
      </c>
      <c r="BO20" s="91">
        <f>(+$C$20*0.8)/24</f>
        <v>208333.33333333334</v>
      </c>
      <c r="BP20" s="91">
        <v>0</v>
      </c>
      <c r="BQ20" s="91">
        <v>0</v>
      </c>
      <c r="BR20" s="91">
        <f>(+$C$20*0.8)/24</f>
        <v>208333.33333333334</v>
      </c>
      <c r="BS20" s="91">
        <v>0</v>
      </c>
      <c r="BT20" s="91">
        <v>0</v>
      </c>
      <c r="BU20" s="91">
        <f>(+$C$20*0.8)/24</f>
        <v>208333.33333333334</v>
      </c>
      <c r="BV20" s="91">
        <v>0</v>
      </c>
      <c r="BW20" s="91">
        <v>0</v>
      </c>
      <c r="BX20" s="91">
        <f>(+$C$20*0.8)/24</f>
        <v>208333.33333333334</v>
      </c>
      <c r="BY20" s="91">
        <v>0</v>
      </c>
      <c r="BZ20" s="91">
        <v>0</v>
      </c>
      <c r="CA20" s="91">
        <f>(+$C$20*0.8)/24</f>
        <v>208333.33333333334</v>
      </c>
      <c r="CB20" s="91">
        <v>0</v>
      </c>
      <c r="CC20" s="91">
        <v>0</v>
      </c>
      <c r="CD20" s="91">
        <f>(+$C$20*0.8)/24</f>
        <v>208333.33333333334</v>
      </c>
      <c r="CE20" s="91">
        <v>0</v>
      </c>
      <c r="CF20" s="91">
        <v>0</v>
      </c>
      <c r="CG20" s="91">
        <f>(+$C$20*0.8)/24</f>
        <v>208333.33333333334</v>
      </c>
      <c r="CH20" s="91">
        <v>0</v>
      </c>
      <c r="CI20" s="91">
        <f>(+$C$20*0.8)/24</f>
        <v>208333.33333333334</v>
      </c>
      <c r="CJ20" s="91">
        <f t="shared" ref="CJ20:CJ22" si="102">SUM(D20:CI20)</f>
        <v>6249999.9999999981</v>
      </c>
    </row>
    <row r="21" spans="1:88" s="174" customFormat="1" ht="25.5" x14ac:dyDescent="0.2">
      <c r="A21" s="88" t="str">
        <f>+'3. PEP'!A35</f>
        <v>1.2.3</v>
      </c>
      <c r="B21" s="95" t="str">
        <f>+'3. PEP'!B35</f>
        <v>Contratación de Firma Consultora para Fiscalización de Obra de Conservación del Tramo Ñumi- Empalme R6 (147 km)</v>
      </c>
      <c r="C21" s="91">
        <f>+'3. PEP'!G35</f>
        <v>300000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/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f>+$C$21*0.2</f>
        <v>60000</v>
      </c>
      <c r="AO21" s="91">
        <v>0</v>
      </c>
      <c r="AP21" s="91">
        <v>0</v>
      </c>
      <c r="AQ21" s="91">
        <f>+($C21*0.8)/16</f>
        <v>15000</v>
      </c>
      <c r="AR21" s="91">
        <v>0</v>
      </c>
      <c r="AS21" s="91">
        <v>0</v>
      </c>
      <c r="AT21" s="91">
        <f>+($C21*0.8)/16</f>
        <v>15000</v>
      </c>
      <c r="AU21" s="91">
        <v>0</v>
      </c>
      <c r="AV21" s="91">
        <v>0</v>
      </c>
      <c r="AW21" s="91">
        <f>+($C21*0.8)/16</f>
        <v>15000</v>
      </c>
      <c r="AX21" s="91">
        <v>0</v>
      </c>
      <c r="AY21" s="91">
        <v>0</v>
      </c>
      <c r="AZ21" s="91">
        <f>+($C21*0.8)/16</f>
        <v>15000</v>
      </c>
      <c r="BA21" s="91">
        <v>0</v>
      </c>
      <c r="BB21" s="91">
        <v>0</v>
      </c>
      <c r="BC21" s="91">
        <f>+($C21*0.8)/16</f>
        <v>15000</v>
      </c>
      <c r="BD21" s="91">
        <v>0</v>
      </c>
      <c r="BE21" s="91">
        <v>0</v>
      </c>
      <c r="BF21" s="91">
        <f>+($C21*0.8)/16</f>
        <v>15000</v>
      </c>
      <c r="BG21" s="91">
        <v>0</v>
      </c>
      <c r="BH21" s="91">
        <v>0</v>
      </c>
      <c r="BI21" s="91">
        <f>+($C21*0.8)/16</f>
        <v>15000</v>
      </c>
      <c r="BJ21" s="91">
        <v>0</v>
      </c>
      <c r="BK21" s="91">
        <v>0</v>
      </c>
      <c r="BL21" s="91">
        <f>+($C21*0.8)/16</f>
        <v>15000</v>
      </c>
      <c r="BM21" s="91">
        <v>0</v>
      </c>
      <c r="BN21" s="91">
        <v>0</v>
      </c>
      <c r="BO21" s="91">
        <f>+($C21*0.8)/16</f>
        <v>15000</v>
      </c>
      <c r="BP21" s="91">
        <v>0</v>
      </c>
      <c r="BQ21" s="91">
        <v>0</v>
      </c>
      <c r="BR21" s="91">
        <f>+($C21*0.8)/16</f>
        <v>15000</v>
      </c>
      <c r="BS21" s="91">
        <v>0</v>
      </c>
      <c r="BT21" s="91">
        <v>0</v>
      </c>
      <c r="BU21" s="91">
        <f>+($C21*0.8)/16</f>
        <v>15000</v>
      </c>
      <c r="BV21" s="91">
        <v>0</v>
      </c>
      <c r="BW21" s="91">
        <v>0</v>
      </c>
      <c r="BX21" s="91">
        <f>+($C21*0.8)/16</f>
        <v>15000</v>
      </c>
      <c r="BY21" s="91">
        <v>0</v>
      </c>
      <c r="BZ21" s="91">
        <v>0</v>
      </c>
      <c r="CA21" s="91">
        <f>+($C21*0.8)/16</f>
        <v>15000</v>
      </c>
      <c r="CB21" s="91">
        <v>0</v>
      </c>
      <c r="CC21" s="91">
        <v>0</v>
      </c>
      <c r="CD21" s="91">
        <f>+($C21*0.8)/16</f>
        <v>15000</v>
      </c>
      <c r="CE21" s="91">
        <v>0</v>
      </c>
      <c r="CF21" s="91">
        <v>0</v>
      </c>
      <c r="CG21" s="91">
        <f>+($C21*0.8)/16</f>
        <v>15000</v>
      </c>
      <c r="CH21" s="91">
        <v>0</v>
      </c>
      <c r="CI21" s="91">
        <f>+($C21*0.8)/16</f>
        <v>15000</v>
      </c>
      <c r="CJ21" s="91">
        <f t="shared" si="102"/>
        <v>300000</v>
      </c>
    </row>
    <row r="22" spans="1:88" s="174" customFormat="1" ht="25.5" x14ac:dyDescent="0.2">
      <c r="A22" s="88" t="str">
        <f>+'3. PEP'!A36</f>
        <v>1.2.4</v>
      </c>
      <c r="B22" s="95" t="str">
        <f>+'3. PEP'!B36</f>
        <v>Contratación de Firma Consultora para Fiscalización de Obra de Conservación Ruta 13: Caaguazu - Empalme Ruta 10 (120 km)</v>
      </c>
      <c r="C22" s="91">
        <f>+'3. PEP'!G36</f>
        <v>400000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f>+$C$22*0.2</f>
        <v>80000</v>
      </c>
      <c r="Q22" s="91">
        <v>0</v>
      </c>
      <c r="R22" s="91">
        <v>0</v>
      </c>
      <c r="S22" s="91">
        <f>(+$C$22*0.8)/24</f>
        <v>13333.333333333334</v>
      </c>
      <c r="T22" s="91">
        <v>0</v>
      </c>
      <c r="U22" s="91">
        <v>0</v>
      </c>
      <c r="V22" s="91">
        <f>(+$C$22*0.8)/24</f>
        <v>13333.333333333334</v>
      </c>
      <c r="W22" s="91">
        <v>0</v>
      </c>
      <c r="X22" s="91">
        <v>0</v>
      </c>
      <c r="Y22" s="91">
        <f>(+$C$22*0.8)/24</f>
        <v>13333.333333333334</v>
      </c>
      <c r="Z22" s="91">
        <v>0</v>
      </c>
      <c r="AA22" s="91">
        <v>0</v>
      </c>
      <c r="AB22" s="91">
        <f>(+$C$22*0.8)/24</f>
        <v>13333.333333333334</v>
      </c>
      <c r="AC22" s="91">
        <v>0</v>
      </c>
      <c r="AD22" s="91">
        <v>0</v>
      </c>
      <c r="AE22" s="91">
        <f>(+$C$22*0.8)/24</f>
        <v>13333.333333333334</v>
      </c>
      <c r="AF22" s="91">
        <v>0</v>
      </c>
      <c r="AG22" s="91">
        <v>0</v>
      </c>
      <c r="AH22" s="91">
        <f>(+$C$22*0.8)/24</f>
        <v>13333.333333333334</v>
      </c>
      <c r="AI22" s="91">
        <v>0</v>
      </c>
      <c r="AJ22" s="91">
        <v>0</v>
      </c>
      <c r="AK22" s="91">
        <f>(+$C$22*0.8)/24</f>
        <v>13333.333333333334</v>
      </c>
      <c r="AL22" s="91">
        <v>0</v>
      </c>
      <c r="AM22" s="91">
        <v>0</v>
      </c>
      <c r="AN22" s="91">
        <f>(+$C$22*0.8)/24</f>
        <v>13333.333333333334</v>
      </c>
      <c r="AO22" s="91">
        <v>0</v>
      </c>
      <c r="AP22" s="91">
        <v>0</v>
      </c>
      <c r="AQ22" s="91">
        <f>(+$C$22*0.8)/24</f>
        <v>13333.333333333334</v>
      </c>
      <c r="AR22" s="91">
        <v>0</v>
      </c>
      <c r="AS22" s="91">
        <v>0</v>
      </c>
      <c r="AT22" s="91">
        <f>(+$C$22*0.8)/24</f>
        <v>13333.333333333334</v>
      </c>
      <c r="AU22" s="91">
        <v>0</v>
      </c>
      <c r="AV22" s="91">
        <v>0</v>
      </c>
      <c r="AW22" s="91">
        <f>(+$C$22*0.8)/24</f>
        <v>13333.333333333334</v>
      </c>
      <c r="AX22" s="91">
        <v>0</v>
      </c>
      <c r="AY22" s="91">
        <v>0</v>
      </c>
      <c r="AZ22" s="91">
        <f>(+$C$22*0.8)/24</f>
        <v>13333.333333333334</v>
      </c>
      <c r="BA22" s="91">
        <v>0</v>
      </c>
      <c r="BB22" s="91">
        <v>0</v>
      </c>
      <c r="BC22" s="91">
        <f>(+$C$22*0.8)/24</f>
        <v>13333.333333333334</v>
      </c>
      <c r="BD22" s="91">
        <v>0</v>
      </c>
      <c r="BE22" s="91">
        <v>0</v>
      </c>
      <c r="BF22" s="91">
        <f>(+$C$22*0.8)/24</f>
        <v>13333.333333333334</v>
      </c>
      <c r="BG22" s="91">
        <v>0</v>
      </c>
      <c r="BH22" s="91">
        <v>0</v>
      </c>
      <c r="BI22" s="91">
        <f>(+$C$22*0.8)/24</f>
        <v>13333.333333333334</v>
      </c>
      <c r="BJ22" s="91">
        <v>0</v>
      </c>
      <c r="BK22" s="91">
        <v>0</v>
      </c>
      <c r="BL22" s="91">
        <f>(+$C$22*0.8)/24</f>
        <v>13333.333333333334</v>
      </c>
      <c r="BM22" s="91">
        <v>0</v>
      </c>
      <c r="BN22" s="91">
        <v>0</v>
      </c>
      <c r="BO22" s="91">
        <f>(+$C$22*0.8)/24</f>
        <v>13333.333333333334</v>
      </c>
      <c r="BP22" s="91">
        <v>0</v>
      </c>
      <c r="BQ22" s="91">
        <v>0</v>
      </c>
      <c r="BR22" s="91">
        <f>(+$C$22*0.8)/24</f>
        <v>13333.333333333334</v>
      </c>
      <c r="BS22" s="91">
        <v>0</v>
      </c>
      <c r="BT22" s="91">
        <v>0</v>
      </c>
      <c r="BU22" s="91">
        <f>(+$C$22*0.8)/24</f>
        <v>13333.333333333334</v>
      </c>
      <c r="BV22" s="91">
        <v>0</v>
      </c>
      <c r="BW22" s="91">
        <v>0</v>
      </c>
      <c r="BX22" s="91">
        <f>(+$C$22*0.8)/24</f>
        <v>13333.333333333334</v>
      </c>
      <c r="BY22" s="91">
        <v>0</v>
      </c>
      <c r="BZ22" s="91">
        <v>0</v>
      </c>
      <c r="CA22" s="91">
        <f>(+$C$22*0.8)/24</f>
        <v>13333.333333333334</v>
      </c>
      <c r="CB22" s="91">
        <v>0</v>
      </c>
      <c r="CC22" s="91">
        <v>0</v>
      </c>
      <c r="CD22" s="91">
        <f>(+$C$22*0.8)/24</f>
        <v>13333.333333333334</v>
      </c>
      <c r="CE22" s="91">
        <v>0</v>
      </c>
      <c r="CF22" s="91">
        <v>0</v>
      </c>
      <c r="CG22" s="91">
        <f>(+$C$22*0.8)/24</f>
        <v>13333.333333333334</v>
      </c>
      <c r="CH22" s="91">
        <v>0</v>
      </c>
      <c r="CI22" s="91">
        <f>(+$C$22*0.8)/24</f>
        <v>13333.333333333334</v>
      </c>
      <c r="CJ22" s="91">
        <f t="shared" si="102"/>
        <v>399999.99999999988</v>
      </c>
    </row>
    <row r="23" spans="1:88" s="174" customFormat="1" x14ac:dyDescent="0.2">
      <c r="A23" s="175">
        <f>+'3. PEP'!A37</f>
        <v>2</v>
      </c>
      <c r="B23" s="173" t="str">
        <f>+'3. PEP'!B37</f>
        <v>Otros Costos</v>
      </c>
      <c r="C23" s="83">
        <f>+'3. PEP'!G37</f>
        <v>5000000</v>
      </c>
      <c r="D23" s="83">
        <f>+D24+D26</f>
        <v>0</v>
      </c>
      <c r="E23" s="83">
        <f>+E24+E26</f>
        <v>0</v>
      </c>
      <c r="F23" s="83">
        <f t="shared" ref="F23:BQ23" si="103">+F24+F26</f>
        <v>117857.14285714286</v>
      </c>
      <c r="G23" s="83">
        <f t="shared" si="103"/>
        <v>0</v>
      </c>
      <c r="H23" s="83">
        <f t="shared" si="103"/>
        <v>0</v>
      </c>
      <c r="I23" s="83">
        <f t="shared" si="103"/>
        <v>117857.14285714286</v>
      </c>
      <c r="J23" s="83">
        <f t="shared" si="103"/>
        <v>0</v>
      </c>
      <c r="K23" s="83">
        <f t="shared" si="103"/>
        <v>0</v>
      </c>
      <c r="L23" s="83">
        <f t="shared" si="103"/>
        <v>117857.14285714286</v>
      </c>
      <c r="M23" s="83">
        <f t="shared" si="103"/>
        <v>0</v>
      </c>
      <c r="N23" s="83">
        <f t="shared" si="103"/>
        <v>0</v>
      </c>
      <c r="O23" s="83">
        <f t="shared" si="103"/>
        <v>117857.14285714286</v>
      </c>
      <c r="P23" s="83">
        <f t="shared" si="103"/>
        <v>0</v>
      </c>
      <c r="Q23" s="83">
        <f t="shared" si="103"/>
        <v>4285.7142857142853</v>
      </c>
      <c r="R23" s="83">
        <f t="shared" si="103"/>
        <v>117857.14285714286</v>
      </c>
      <c r="S23" s="83">
        <f t="shared" si="103"/>
        <v>8571.4285714285706</v>
      </c>
      <c r="T23" s="83">
        <f t="shared" si="103"/>
        <v>8571.4285714285706</v>
      </c>
      <c r="U23" s="83">
        <f t="shared" si="103"/>
        <v>117857.14285714286</v>
      </c>
      <c r="V23" s="83">
        <f t="shared" si="103"/>
        <v>0</v>
      </c>
      <c r="W23" s="83">
        <f t="shared" si="103"/>
        <v>0</v>
      </c>
      <c r="X23" s="83">
        <f t="shared" si="103"/>
        <v>117857.14285714286</v>
      </c>
      <c r="Y23" s="83">
        <f t="shared" si="103"/>
        <v>0</v>
      </c>
      <c r="Z23" s="83">
        <f t="shared" si="103"/>
        <v>0</v>
      </c>
      <c r="AA23" s="83">
        <f t="shared" si="103"/>
        <v>117857.14285714286</v>
      </c>
      <c r="AB23" s="83">
        <f t="shared" si="103"/>
        <v>0</v>
      </c>
      <c r="AC23" s="83">
        <f t="shared" si="103"/>
        <v>4285.7142857142853</v>
      </c>
      <c r="AD23" s="83">
        <f t="shared" si="103"/>
        <v>117857.14285714286</v>
      </c>
      <c r="AE23" s="83">
        <f t="shared" si="103"/>
        <v>8571.4285714285706</v>
      </c>
      <c r="AF23" s="83">
        <f t="shared" si="103"/>
        <v>8571.4285714285706</v>
      </c>
      <c r="AG23" s="83">
        <f t="shared" si="103"/>
        <v>117857.14285714286</v>
      </c>
      <c r="AH23" s="83">
        <f t="shared" si="103"/>
        <v>0</v>
      </c>
      <c r="AI23" s="83">
        <f t="shared" si="103"/>
        <v>0</v>
      </c>
      <c r="AJ23" s="83">
        <f t="shared" si="103"/>
        <v>117857.14285714286</v>
      </c>
      <c r="AK23" s="83">
        <f t="shared" si="103"/>
        <v>0</v>
      </c>
      <c r="AL23" s="83">
        <f t="shared" si="103"/>
        <v>0</v>
      </c>
      <c r="AM23" s="83">
        <f t="shared" si="103"/>
        <v>117857.14285714286</v>
      </c>
      <c r="AN23" s="83">
        <f t="shared" si="103"/>
        <v>0</v>
      </c>
      <c r="AO23" s="83">
        <f t="shared" si="103"/>
        <v>4285.7142857142853</v>
      </c>
      <c r="AP23" s="83">
        <f t="shared" si="103"/>
        <v>117857.14285714286</v>
      </c>
      <c r="AQ23" s="83">
        <f t="shared" si="103"/>
        <v>8571.4285714285706</v>
      </c>
      <c r="AR23" s="83">
        <f t="shared" si="103"/>
        <v>8571.4285714285706</v>
      </c>
      <c r="AS23" s="83">
        <f t="shared" si="103"/>
        <v>117857.14285714286</v>
      </c>
      <c r="AT23" s="83">
        <f t="shared" si="103"/>
        <v>0</v>
      </c>
      <c r="AU23" s="83">
        <f t="shared" si="103"/>
        <v>0</v>
      </c>
      <c r="AV23" s="83">
        <f t="shared" si="103"/>
        <v>117857.14285714286</v>
      </c>
      <c r="AW23" s="83">
        <f t="shared" si="103"/>
        <v>0</v>
      </c>
      <c r="AX23" s="83">
        <f t="shared" si="103"/>
        <v>0</v>
      </c>
      <c r="AY23" s="83">
        <f t="shared" si="103"/>
        <v>117857.14285714286</v>
      </c>
      <c r="AZ23" s="83">
        <f t="shared" si="103"/>
        <v>0</v>
      </c>
      <c r="BA23" s="83">
        <f t="shared" si="103"/>
        <v>4285.7142857142853</v>
      </c>
      <c r="BB23" s="83">
        <f t="shared" si="103"/>
        <v>117857.14285714286</v>
      </c>
      <c r="BC23" s="83">
        <f t="shared" si="103"/>
        <v>8571.4285714285706</v>
      </c>
      <c r="BD23" s="83">
        <f t="shared" si="103"/>
        <v>8571.4285714285706</v>
      </c>
      <c r="BE23" s="83">
        <f t="shared" si="103"/>
        <v>117857.14285714286</v>
      </c>
      <c r="BF23" s="83">
        <f t="shared" si="103"/>
        <v>0</v>
      </c>
      <c r="BG23" s="83">
        <f t="shared" si="103"/>
        <v>0</v>
      </c>
      <c r="BH23" s="83">
        <f t="shared" si="103"/>
        <v>117857.14285714286</v>
      </c>
      <c r="BI23" s="83">
        <f t="shared" si="103"/>
        <v>0</v>
      </c>
      <c r="BJ23" s="83">
        <f t="shared" si="103"/>
        <v>0</v>
      </c>
      <c r="BK23" s="83">
        <f t="shared" si="103"/>
        <v>117857.14285714286</v>
      </c>
      <c r="BL23" s="83">
        <f t="shared" si="103"/>
        <v>0</v>
      </c>
      <c r="BM23" s="83">
        <f t="shared" si="103"/>
        <v>4285.7142857142853</v>
      </c>
      <c r="BN23" s="83">
        <f t="shared" si="103"/>
        <v>117857.14285714286</v>
      </c>
      <c r="BO23" s="83">
        <f t="shared" si="103"/>
        <v>8571.4285714285706</v>
      </c>
      <c r="BP23" s="83">
        <f t="shared" si="103"/>
        <v>8571.4285714285706</v>
      </c>
      <c r="BQ23" s="83">
        <f t="shared" si="103"/>
        <v>117857.14285714286</v>
      </c>
      <c r="BR23" s="83">
        <f t="shared" ref="BR23:CI23" si="104">+BR24+BR26</f>
        <v>0</v>
      </c>
      <c r="BS23" s="83">
        <f t="shared" si="104"/>
        <v>0</v>
      </c>
      <c r="BT23" s="83">
        <f t="shared" si="104"/>
        <v>117857.14285714286</v>
      </c>
      <c r="BU23" s="83">
        <f t="shared" si="104"/>
        <v>0</v>
      </c>
      <c r="BV23" s="83">
        <f t="shared" si="104"/>
        <v>0</v>
      </c>
      <c r="BW23" s="83">
        <f t="shared" si="104"/>
        <v>117857.14285714286</v>
      </c>
      <c r="BX23" s="83">
        <f t="shared" si="104"/>
        <v>0</v>
      </c>
      <c r="BY23" s="83">
        <f t="shared" si="104"/>
        <v>4285.7142857142853</v>
      </c>
      <c r="BZ23" s="83">
        <f t="shared" si="104"/>
        <v>117857.14285714286</v>
      </c>
      <c r="CA23" s="83">
        <f t="shared" si="104"/>
        <v>8571.4285714285706</v>
      </c>
      <c r="CB23" s="83">
        <f t="shared" si="104"/>
        <v>38571.428571428572</v>
      </c>
      <c r="CC23" s="83">
        <f t="shared" si="104"/>
        <v>117857.14285714286</v>
      </c>
      <c r="CD23" s="83">
        <f t="shared" si="104"/>
        <v>0</v>
      </c>
      <c r="CE23" s="83">
        <f t="shared" si="104"/>
        <v>34285.714285714283</v>
      </c>
      <c r="CF23" s="83">
        <f t="shared" si="104"/>
        <v>117857.14285714286</v>
      </c>
      <c r="CG23" s="83">
        <f t="shared" si="104"/>
        <v>48571.428571428572</v>
      </c>
      <c r="CH23" s="83">
        <f t="shared" si="104"/>
        <v>8571.4285714285706</v>
      </c>
      <c r="CI23" s="83">
        <f t="shared" si="104"/>
        <v>117857.14285714286</v>
      </c>
      <c r="CJ23" s="83">
        <f>+CJ24+CJ26+CJ29</f>
        <v>5000000</v>
      </c>
    </row>
    <row r="24" spans="1:88" x14ac:dyDescent="0.2">
      <c r="A24" s="97">
        <f>+'3. PEP'!A38</f>
        <v>2.1</v>
      </c>
      <c r="B24" s="84" t="str">
        <f>+'3. PEP'!B38</f>
        <v>Administración del Programa</v>
      </c>
      <c r="C24" s="100">
        <f>+'3. PEP'!G38</f>
        <v>3300000</v>
      </c>
      <c r="D24" s="100">
        <f>D25</f>
        <v>0</v>
      </c>
      <c r="E24" s="100">
        <f t="shared" ref="E24:BP24" si="105">E25</f>
        <v>0</v>
      </c>
      <c r="F24" s="100">
        <f t="shared" si="105"/>
        <v>117857.14285714286</v>
      </c>
      <c r="G24" s="100">
        <f t="shared" si="105"/>
        <v>0</v>
      </c>
      <c r="H24" s="100">
        <f t="shared" si="105"/>
        <v>0</v>
      </c>
      <c r="I24" s="100">
        <f t="shared" si="105"/>
        <v>117857.14285714286</v>
      </c>
      <c r="J24" s="100">
        <f t="shared" si="105"/>
        <v>0</v>
      </c>
      <c r="K24" s="100">
        <f t="shared" si="105"/>
        <v>0</v>
      </c>
      <c r="L24" s="100">
        <f t="shared" si="105"/>
        <v>117857.14285714286</v>
      </c>
      <c r="M24" s="100">
        <f t="shared" si="105"/>
        <v>0</v>
      </c>
      <c r="N24" s="100">
        <f t="shared" si="105"/>
        <v>0</v>
      </c>
      <c r="O24" s="100">
        <f t="shared" si="105"/>
        <v>117857.14285714286</v>
      </c>
      <c r="P24" s="100">
        <f t="shared" si="105"/>
        <v>0</v>
      </c>
      <c r="Q24" s="100">
        <f t="shared" si="105"/>
        <v>0</v>
      </c>
      <c r="R24" s="100">
        <f t="shared" si="105"/>
        <v>117857.14285714286</v>
      </c>
      <c r="S24" s="100">
        <f t="shared" si="105"/>
        <v>0</v>
      </c>
      <c r="T24" s="100">
        <f t="shared" si="105"/>
        <v>0</v>
      </c>
      <c r="U24" s="100">
        <f t="shared" si="105"/>
        <v>117857.14285714286</v>
      </c>
      <c r="V24" s="100">
        <f t="shared" si="105"/>
        <v>0</v>
      </c>
      <c r="W24" s="100">
        <f t="shared" si="105"/>
        <v>0</v>
      </c>
      <c r="X24" s="100">
        <f t="shared" si="105"/>
        <v>117857.14285714286</v>
      </c>
      <c r="Y24" s="100">
        <f t="shared" si="105"/>
        <v>0</v>
      </c>
      <c r="Z24" s="100">
        <f t="shared" si="105"/>
        <v>0</v>
      </c>
      <c r="AA24" s="100">
        <f t="shared" si="105"/>
        <v>117857.14285714286</v>
      </c>
      <c r="AB24" s="100">
        <f t="shared" si="105"/>
        <v>0</v>
      </c>
      <c r="AC24" s="100">
        <f t="shared" si="105"/>
        <v>0</v>
      </c>
      <c r="AD24" s="100">
        <f t="shared" si="105"/>
        <v>117857.14285714286</v>
      </c>
      <c r="AE24" s="100">
        <f t="shared" si="105"/>
        <v>0</v>
      </c>
      <c r="AF24" s="100">
        <f t="shared" si="105"/>
        <v>0</v>
      </c>
      <c r="AG24" s="100">
        <f t="shared" si="105"/>
        <v>117857.14285714286</v>
      </c>
      <c r="AH24" s="100">
        <f t="shared" si="105"/>
        <v>0</v>
      </c>
      <c r="AI24" s="100">
        <f t="shared" si="105"/>
        <v>0</v>
      </c>
      <c r="AJ24" s="100">
        <f t="shared" si="105"/>
        <v>117857.14285714286</v>
      </c>
      <c r="AK24" s="100">
        <f t="shared" si="105"/>
        <v>0</v>
      </c>
      <c r="AL24" s="100">
        <f t="shared" si="105"/>
        <v>0</v>
      </c>
      <c r="AM24" s="100">
        <f t="shared" si="105"/>
        <v>117857.14285714286</v>
      </c>
      <c r="AN24" s="100">
        <f t="shared" si="105"/>
        <v>0</v>
      </c>
      <c r="AO24" s="100">
        <f t="shared" si="105"/>
        <v>0</v>
      </c>
      <c r="AP24" s="100">
        <f t="shared" si="105"/>
        <v>117857.14285714286</v>
      </c>
      <c r="AQ24" s="100">
        <f t="shared" si="105"/>
        <v>0</v>
      </c>
      <c r="AR24" s="100">
        <f t="shared" si="105"/>
        <v>0</v>
      </c>
      <c r="AS24" s="100">
        <f t="shared" si="105"/>
        <v>117857.14285714286</v>
      </c>
      <c r="AT24" s="100">
        <f t="shared" si="105"/>
        <v>0</v>
      </c>
      <c r="AU24" s="100">
        <f t="shared" si="105"/>
        <v>0</v>
      </c>
      <c r="AV24" s="100">
        <f t="shared" si="105"/>
        <v>117857.14285714286</v>
      </c>
      <c r="AW24" s="100">
        <f t="shared" si="105"/>
        <v>0</v>
      </c>
      <c r="AX24" s="100">
        <f t="shared" si="105"/>
        <v>0</v>
      </c>
      <c r="AY24" s="100">
        <f t="shared" si="105"/>
        <v>117857.14285714286</v>
      </c>
      <c r="AZ24" s="100">
        <f t="shared" si="105"/>
        <v>0</v>
      </c>
      <c r="BA24" s="100">
        <f t="shared" si="105"/>
        <v>0</v>
      </c>
      <c r="BB24" s="100">
        <f t="shared" si="105"/>
        <v>117857.14285714286</v>
      </c>
      <c r="BC24" s="100">
        <f t="shared" si="105"/>
        <v>0</v>
      </c>
      <c r="BD24" s="100">
        <f t="shared" si="105"/>
        <v>0</v>
      </c>
      <c r="BE24" s="100">
        <f t="shared" si="105"/>
        <v>117857.14285714286</v>
      </c>
      <c r="BF24" s="100">
        <f t="shared" si="105"/>
        <v>0</v>
      </c>
      <c r="BG24" s="100">
        <f t="shared" si="105"/>
        <v>0</v>
      </c>
      <c r="BH24" s="100">
        <f t="shared" si="105"/>
        <v>117857.14285714286</v>
      </c>
      <c r="BI24" s="100">
        <f t="shared" si="105"/>
        <v>0</v>
      </c>
      <c r="BJ24" s="100">
        <f t="shared" si="105"/>
        <v>0</v>
      </c>
      <c r="BK24" s="100">
        <f t="shared" si="105"/>
        <v>117857.14285714286</v>
      </c>
      <c r="BL24" s="100">
        <f t="shared" si="105"/>
        <v>0</v>
      </c>
      <c r="BM24" s="100">
        <f t="shared" si="105"/>
        <v>0</v>
      </c>
      <c r="BN24" s="100">
        <f t="shared" si="105"/>
        <v>117857.14285714286</v>
      </c>
      <c r="BO24" s="100">
        <f t="shared" si="105"/>
        <v>0</v>
      </c>
      <c r="BP24" s="100">
        <f t="shared" si="105"/>
        <v>0</v>
      </c>
      <c r="BQ24" s="100">
        <f t="shared" ref="BQ24:CI24" si="106">BQ25</f>
        <v>117857.14285714286</v>
      </c>
      <c r="BR24" s="100">
        <f t="shared" si="106"/>
        <v>0</v>
      </c>
      <c r="BS24" s="100">
        <f t="shared" si="106"/>
        <v>0</v>
      </c>
      <c r="BT24" s="100">
        <f t="shared" si="106"/>
        <v>117857.14285714286</v>
      </c>
      <c r="BU24" s="100">
        <f t="shared" si="106"/>
        <v>0</v>
      </c>
      <c r="BV24" s="100">
        <f t="shared" si="106"/>
        <v>0</v>
      </c>
      <c r="BW24" s="100">
        <f t="shared" si="106"/>
        <v>117857.14285714286</v>
      </c>
      <c r="BX24" s="100">
        <f t="shared" si="106"/>
        <v>0</v>
      </c>
      <c r="BY24" s="100">
        <f t="shared" si="106"/>
        <v>0</v>
      </c>
      <c r="BZ24" s="100">
        <f t="shared" si="106"/>
        <v>117857.14285714286</v>
      </c>
      <c r="CA24" s="100">
        <f t="shared" si="106"/>
        <v>0</v>
      </c>
      <c r="CB24" s="100">
        <f t="shared" si="106"/>
        <v>0</v>
      </c>
      <c r="CC24" s="100">
        <f t="shared" si="106"/>
        <v>117857.14285714286</v>
      </c>
      <c r="CD24" s="100">
        <f t="shared" si="106"/>
        <v>0</v>
      </c>
      <c r="CE24" s="100">
        <f t="shared" si="106"/>
        <v>0</v>
      </c>
      <c r="CF24" s="100">
        <f t="shared" si="106"/>
        <v>117857.14285714286</v>
      </c>
      <c r="CG24" s="100">
        <f t="shared" si="106"/>
        <v>0</v>
      </c>
      <c r="CH24" s="100">
        <f t="shared" si="106"/>
        <v>0</v>
      </c>
      <c r="CI24" s="100">
        <f t="shared" si="106"/>
        <v>117857.14285714286</v>
      </c>
      <c r="CJ24" s="100">
        <f>SUM(D24:CI24)</f>
        <v>3299999.9999999995</v>
      </c>
    </row>
    <row r="25" spans="1:88" x14ac:dyDescent="0.2">
      <c r="A25" s="103" t="str">
        <f>+'3. PEP'!A39</f>
        <v>2.1.1</v>
      </c>
      <c r="B25" s="104" t="str">
        <f>+'3. PEP'!B39</f>
        <v xml:space="preserve">Contratación de la ECATEF para apoyo en la ejecución del Programa </v>
      </c>
      <c r="C25" s="109">
        <f>+'3. PEP'!G39</f>
        <v>3300000</v>
      </c>
      <c r="D25" s="109">
        <v>0</v>
      </c>
      <c r="E25" s="109">
        <v>0</v>
      </c>
      <c r="F25" s="184">
        <f>C25/28</f>
        <v>117857.14285714286</v>
      </c>
      <c r="G25" s="109">
        <v>0</v>
      </c>
      <c r="H25" s="109">
        <v>0</v>
      </c>
      <c r="I25" s="109">
        <f>F25</f>
        <v>117857.14285714286</v>
      </c>
      <c r="J25" s="109">
        <v>0</v>
      </c>
      <c r="K25" s="109">
        <v>0</v>
      </c>
      <c r="L25" s="109">
        <f>I25</f>
        <v>117857.14285714286</v>
      </c>
      <c r="M25" s="109">
        <v>0</v>
      </c>
      <c r="N25" s="109">
        <v>0</v>
      </c>
      <c r="O25" s="109">
        <f>L25</f>
        <v>117857.14285714286</v>
      </c>
      <c r="P25" s="109">
        <v>0</v>
      </c>
      <c r="Q25" s="109">
        <v>0</v>
      </c>
      <c r="R25" s="109">
        <f>O25</f>
        <v>117857.14285714286</v>
      </c>
      <c r="S25" s="109">
        <v>0</v>
      </c>
      <c r="T25" s="109">
        <v>0</v>
      </c>
      <c r="U25" s="109">
        <f>R25</f>
        <v>117857.14285714286</v>
      </c>
      <c r="V25" s="109">
        <v>0</v>
      </c>
      <c r="W25" s="109">
        <v>0</v>
      </c>
      <c r="X25" s="109">
        <f>U25</f>
        <v>117857.14285714286</v>
      </c>
      <c r="Y25" s="109">
        <v>0</v>
      </c>
      <c r="Z25" s="109">
        <v>0</v>
      </c>
      <c r="AA25" s="109">
        <f>X25</f>
        <v>117857.14285714286</v>
      </c>
      <c r="AB25" s="109">
        <v>0</v>
      </c>
      <c r="AC25" s="109">
        <v>0</v>
      </c>
      <c r="AD25" s="109">
        <f>AA25</f>
        <v>117857.14285714286</v>
      </c>
      <c r="AE25" s="109">
        <v>0</v>
      </c>
      <c r="AF25" s="109">
        <v>0</v>
      </c>
      <c r="AG25" s="109">
        <f>AD25</f>
        <v>117857.14285714286</v>
      </c>
      <c r="AH25" s="109">
        <v>0</v>
      </c>
      <c r="AI25" s="109">
        <v>0</v>
      </c>
      <c r="AJ25" s="109">
        <f>AG25</f>
        <v>117857.14285714286</v>
      </c>
      <c r="AK25" s="109">
        <v>0</v>
      </c>
      <c r="AL25" s="109">
        <v>0</v>
      </c>
      <c r="AM25" s="109">
        <f>AJ25</f>
        <v>117857.14285714286</v>
      </c>
      <c r="AN25" s="109">
        <v>0</v>
      </c>
      <c r="AO25" s="109">
        <v>0</v>
      </c>
      <c r="AP25" s="109">
        <f>AM25</f>
        <v>117857.14285714286</v>
      </c>
      <c r="AQ25" s="109">
        <v>0</v>
      </c>
      <c r="AR25" s="109">
        <v>0</v>
      </c>
      <c r="AS25" s="109">
        <f>AP25</f>
        <v>117857.14285714286</v>
      </c>
      <c r="AT25" s="109">
        <v>0</v>
      </c>
      <c r="AU25" s="109">
        <v>0</v>
      </c>
      <c r="AV25" s="109">
        <f>AS25</f>
        <v>117857.14285714286</v>
      </c>
      <c r="AW25" s="109">
        <v>0</v>
      </c>
      <c r="AX25" s="109">
        <v>0</v>
      </c>
      <c r="AY25" s="109">
        <f>AV25</f>
        <v>117857.14285714286</v>
      </c>
      <c r="AZ25" s="109">
        <v>0</v>
      </c>
      <c r="BA25" s="109">
        <v>0</v>
      </c>
      <c r="BB25" s="109">
        <f>AY25</f>
        <v>117857.14285714286</v>
      </c>
      <c r="BC25" s="109">
        <v>0</v>
      </c>
      <c r="BD25" s="109">
        <v>0</v>
      </c>
      <c r="BE25" s="109">
        <f>BB25</f>
        <v>117857.14285714286</v>
      </c>
      <c r="BF25" s="109">
        <v>0</v>
      </c>
      <c r="BG25" s="109">
        <v>0</v>
      </c>
      <c r="BH25" s="109">
        <f>BE25</f>
        <v>117857.14285714286</v>
      </c>
      <c r="BI25" s="109">
        <v>0</v>
      </c>
      <c r="BJ25" s="109">
        <v>0</v>
      </c>
      <c r="BK25" s="109">
        <f>BH25</f>
        <v>117857.14285714286</v>
      </c>
      <c r="BL25" s="109">
        <f t="shared" ref="BL25:CI25" si="107">BI25</f>
        <v>0</v>
      </c>
      <c r="BM25" s="109">
        <f t="shared" si="107"/>
        <v>0</v>
      </c>
      <c r="BN25" s="109">
        <f t="shared" si="107"/>
        <v>117857.14285714286</v>
      </c>
      <c r="BO25" s="109">
        <f t="shared" si="107"/>
        <v>0</v>
      </c>
      <c r="BP25" s="109">
        <f t="shared" si="107"/>
        <v>0</v>
      </c>
      <c r="BQ25" s="109">
        <f t="shared" si="107"/>
        <v>117857.14285714286</v>
      </c>
      <c r="BR25" s="109">
        <f t="shared" si="107"/>
        <v>0</v>
      </c>
      <c r="BS25" s="109">
        <f t="shared" si="107"/>
        <v>0</v>
      </c>
      <c r="BT25" s="109">
        <f t="shared" si="107"/>
        <v>117857.14285714286</v>
      </c>
      <c r="BU25" s="109">
        <f t="shared" si="107"/>
        <v>0</v>
      </c>
      <c r="BV25" s="109">
        <f t="shared" si="107"/>
        <v>0</v>
      </c>
      <c r="BW25" s="109">
        <f t="shared" si="107"/>
        <v>117857.14285714286</v>
      </c>
      <c r="BX25" s="109">
        <f t="shared" si="107"/>
        <v>0</v>
      </c>
      <c r="BY25" s="109">
        <f t="shared" si="107"/>
        <v>0</v>
      </c>
      <c r="BZ25" s="109">
        <f t="shared" si="107"/>
        <v>117857.14285714286</v>
      </c>
      <c r="CA25" s="109">
        <f t="shared" si="107"/>
        <v>0</v>
      </c>
      <c r="CB25" s="109">
        <f t="shared" si="107"/>
        <v>0</v>
      </c>
      <c r="CC25" s="109">
        <f t="shared" si="107"/>
        <v>117857.14285714286</v>
      </c>
      <c r="CD25" s="109">
        <f t="shared" si="107"/>
        <v>0</v>
      </c>
      <c r="CE25" s="109">
        <f t="shared" si="107"/>
        <v>0</v>
      </c>
      <c r="CF25" s="109">
        <f t="shared" si="107"/>
        <v>117857.14285714286</v>
      </c>
      <c r="CG25" s="109">
        <f t="shared" si="107"/>
        <v>0</v>
      </c>
      <c r="CH25" s="109">
        <f t="shared" si="107"/>
        <v>0</v>
      </c>
      <c r="CI25" s="109">
        <f t="shared" si="107"/>
        <v>117857.14285714286</v>
      </c>
      <c r="CJ25" s="109">
        <f>SUM(D25:CI25)</f>
        <v>3299999.9999999995</v>
      </c>
    </row>
    <row r="26" spans="1:88" x14ac:dyDescent="0.2">
      <c r="A26" s="97">
        <f>+'3. PEP'!A40</f>
        <v>2.2000000000000002</v>
      </c>
      <c r="B26" s="84" t="str">
        <f>+'3. PEP'!B40</f>
        <v>Auditoria, Monitoreo y Evaluación desarrollados</v>
      </c>
      <c r="C26" s="100">
        <f>C27+C28</f>
        <v>250000</v>
      </c>
      <c r="D26" s="100">
        <f>D27+D28</f>
        <v>0</v>
      </c>
      <c r="E26" s="100">
        <f t="shared" ref="E26:BP26" si="108">E27+E28</f>
        <v>0</v>
      </c>
      <c r="F26" s="100">
        <f t="shared" si="108"/>
        <v>0</v>
      </c>
      <c r="G26" s="100">
        <f t="shared" si="108"/>
        <v>0</v>
      </c>
      <c r="H26" s="100">
        <f t="shared" si="108"/>
        <v>0</v>
      </c>
      <c r="I26" s="100">
        <f t="shared" si="108"/>
        <v>0</v>
      </c>
      <c r="J26" s="100">
        <f t="shared" si="108"/>
        <v>0</v>
      </c>
      <c r="K26" s="100">
        <f t="shared" si="108"/>
        <v>0</v>
      </c>
      <c r="L26" s="100">
        <f t="shared" si="108"/>
        <v>0</v>
      </c>
      <c r="M26" s="100">
        <f t="shared" si="108"/>
        <v>0</v>
      </c>
      <c r="N26" s="100">
        <f t="shared" si="108"/>
        <v>0</v>
      </c>
      <c r="O26" s="100">
        <f t="shared" si="108"/>
        <v>0</v>
      </c>
      <c r="P26" s="100">
        <f t="shared" si="108"/>
        <v>0</v>
      </c>
      <c r="Q26" s="100">
        <f t="shared" si="108"/>
        <v>4285.7142857142853</v>
      </c>
      <c r="R26" s="100">
        <f t="shared" si="108"/>
        <v>0</v>
      </c>
      <c r="S26" s="100">
        <f t="shared" si="108"/>
        <v>8571.4285714285706</v>
      </c>
      <c r="T26" s="100">
        <f t="shared" si="108"/>
        <v>8571.4285714285706</v>
      </c>
      <c r="U26" s="100">
        <f t="shared" si="108"/>
        <v>0</v>
      </c>
      <c r="V26" s="100">
        <f t="shared" si="108"/>
        <v>0</v>
      </c>
      <c r="W26" s="100">
        <f t="shared" si="108"/>
        <v>0</v>
      </c>
      <c r="X26" s="100">
        <f t="shared" si="108"/>
        <v>0</v>
      </c>
      <c r="Y26" s="100">
        <f t="shared" si="108"/>
        <v>0</v>
      </c>
      <c r="Z26" s="100">
        <f t="shared" si="108"/>
        <v>0</v>
      </c>
      <c r="AA26" s="100">
        <f t="shared" si="108"/>
        <v>0</v>
      </c>
      <c r="AB26" s="100">
        <f t="shared" si="108"/>
        <v>0</v>
      </c>
      <c r="AC26" s="100">
        <f t="shared" si="108"/>
        <v>4285.7142857142853</v>
      </c>
      <c r="AD26" s="100">
        <f t="shared" si="108"/>
        <v>0</v>
      </c>
      <c r="AE26" s="100">
        <f t="shared" si="108"/>
        <v>8571.4285714285706</v>
      </c>
      <c r="AF26" s="100">
        <f t="shared" si="108"/>
        <v>8571.4285714285706</v>
      </c>
      <c r="AG26" s="100">
        <f t="shared" si="108"/>
        <v>0</v>
      </c>
      <c r="AH26" s="100">
        <f t="shared" si="108"/>
        <v>0</v>
      </c>
      <c r="AI26" s="100">
        <f t="shared" si="108"/>
        <v>0</v>
      </c>
      <c r="AJ26" s="100">
        <f t="shared" si="108"/>
        <v>0</v>
      </c>
      <c r="AK26" s="100">
        <f t="shared" si="108"/>
        <v>0</v>
      </c>
      <c r="AL26" s="100">
        <f t="shared" si="108"/>
        <v>0</v>
      </c>
      <c r="AM26" s="100">
        <f t="shared" si="108"/>
        <v>0</v>
      </c>
      <c r="AN26" s="100">
        <f t="shared" si="108"/>
        <v>0</v>
      </c>
      <c r="AO26" s="100">
        <f t="shared" si="108"/>
        <v>4285.7142857142853</v>
      </c>
      <c r="AP26" s="100">
        <f t="shared" si="108"/>
        <v>0</v>
      </c>
      <c r="AQ26" s="100">
        <f t="shared" si="108"/>
        <v>8571.4285714285706</v>
      </c>
      <c r="AR26" s="100">
        <f t="shared" si="108"/>
        <v>8571.4285714285706</v>
      </c>
      <c r="AS26" s="100">
        <f t="shared" si="108"/>
        <v>0</v>
      </c>
      <c r="AT26" s="100">
        <f t="shared" si="108"/>
        <v>0</v>
      </c>
      <c r="AU26" s="100">
        <f t="shared" si="108"/>
        <v>0</v>
      </c>
      <c r="AV26" s="100">
        <f t="shared" si="108"/>
        <v>0</v>
      </c>
      <c r="AW26" s="100">
        <f t="shared" si="108"/>
        <v>0</v>
      </c>
      <c r="AX26" s="100">
        <f t="shared" si="108"/>
        <v>0</v>
      </c>
      <c r="AY26" s="100">
        <f t="shared" si="108"/>
        <v>0</v>
      </c>
      <c r="AZ26" s="100">
        <f t="shared" si="108"/>
        <v>0</v>
      </c>
      <c r="BA26" s="100">
        <f t="shared" si="108"/>
        <v>4285.7142857142853</v>
      </c>
      <c r="BB26" s="100">
        <f t="shared" si="108"/>
        <v>0</v>
      </c>
      <c r="BC26" s="100">
        <f t="shared" si="108"/>
        <v>8571.4285714285706</v>
      </c>
      <c r="BD26" s="100">
        <f t="shared" si="108"/>
        <v>8571.4285714285706</v>
      </c>
      <c r="BE26" s="100">
        <f t="shared" si="108"/>
        <v>0</v>
      </c>
      <c r="BF26" s="100">
        <f t="shared" si="108"/>
        <v>0</v>
      </c>
      <c r="BG26" s="100">
        <f t="shared" si="108"/>
        <v>0</v>
      </c>
      <c r="BH26" s="100">
        <f t="shared" si="108"/>
        <v>0</v>
      </c>
      <c r="BI26" s="100">
        <f t="shared" si="108"/>
        <v>0</v>
      </c>
      <c r="BJ26" s="100">
        <f t="shared" si="108"/>
        <v>0</v>
      </c>
      <c r="BK26" s="100">
        <f t="shared" si="108"/>
        <v>0</v>
      </c>
      <c r="BL26" s="100">
        <f t="shared" si="108"/>
        <v>0</v>
      </c>
      <c r="BM26" s="100">
        <f t="shared" si="108"/>
        <v>4285.7142857142853</v>
      </c>
      <c r="BN26" s="100">
        <f t="shared" si="108"/>
        <v>0</v>
      </c>
      <c r="BO26" s="100">
        <f t="shared" si="108"/>
        <v>8571.4285714285706</v>
      </c>
      <c r="BP26" s="100">
        <f t="shared" si="108"/>
        <v>8571.4285714285706</v>
      </c>
      <c r="BQ26" s="100">
        <f t="shared" ref="BQ26:CJ26" si="109">BQ27+BQ28</f>
        <v>0</v>
      </c>
      <c r="BR26" s="100">
        <f t="shared" si="109"/>
        <v>0</v>
      </c>
      <c r="BS26" s="100">
        <f t="shared" si="109"/>
        <v>0</v>
      </c>
      <c r="BT26" s="100">
        <f t="shared" si="109"/>
        <v>0</v>
      </c>
      <c r="BU26" s="100">
        <f t="shared" si="109"/>
        <v>0</v>
      </c>
      <c r="BV26" s="100">
        <f t="shared" si="109"/>
        <v>0</v>
      </c>
      <c r="BW26" s="100">
        <f t="shared" si="109"/>
        <v>0</v>
      </c>
      <c r="BX26" s="100">
        <f t="shared" si="109"/>
        <v>0</v>
      </c>
      <c r="BY26" s="100">
        <f t="shared" si="109"/>
        <v>4285.7142857142853</v>
      </c>
      <c r="BZ26" s="100">
        <f t="shared" si="109"/>
        <v>0</v>
      </c>
      <c r="CA26" s="100">
        <f t="shared" si="109"/>
        <v>8571.4285714285706</v>
      </c>
      <c r="CB26" s="100">
        <f t="shared" si="109"/>
        <v>38571.428571428572</v>
      </c>
      <c r="CC26" s="100">
        <f t="shared" si="109"/>
        <v>0</v>
      </c>
      <c r="CD26" s="100">
        <f t="shared" si="109"/>
        <v>0</v>
      </c>
      <c r="CE26" s="100">
        <f t="shared" si="109"/>
        <v>34285.714285714283</v>
      </c>
      <c r="CF26" s="100">
        <f t="shared" si="109"/>
        <v>0</v>
      </c>
      <c r="CG26" s="100">
        <f t="shared" si="109"/>
        <v>48571.428571428572</v>
      </c>
      <c r="CH26" s="100">
        <f t="shared" si="109"/>
        <v>8571.4285714285706</v>
      </c>
      <c r="CI26" s="100">
        <f t="shared" si="109"/>
        <v>0</v>
      </c>
      <c r="CJ26" s="100">
        <f t="shared" si="109"/>
        <v>249999.99999999997</v>
      </c>
    </row>
    <row r="27" spans="1:88" x14ac:dyDescent="0.2">
      <c r="A27" s="103" t="str">
        <f>+'3. PEP'!A41</f>
        <v>2.2.1</v>
      </c>
      <c r="B27" s="104" t="str">
        <f>+'3. PEP'!B41</f>
        <v>Contratación de Firma Consultora para la Auditoria Externa del Programa PR-L1105</v>
      </c>
      <c r="C27" s="109">
        <f>+'3. PEP'!G41</f>
        <v>150000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f>($C$27/7)*20%</f>
        <v>4285.7142857142853</v>
      </c>
      <c r="R27" s="109">
        <v>0</v>
      </c>
      <c r="S27" s="109">
        <f>($C$27/7)*40%</f>
        <v>8571.4285714285706</v>
      </c>
      <c r="T27" s="109">
        <f>($C$27/7)*40%</f>
        <v>8571.4285714285706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/>
      <c r="AC27" s="109">
        <f t="shared" ref="AC27" si="110">($C$27/7)*20%</f>
        <v>4285.7142857142853</v>
      </c>
      <c r="AD27" s="109"/>
      <c r="AE27" s="109">
        <f t="shared" ref="AE27:AF27" si="111">($C$27/7)*40%</f>
        <v>8571.4285714285706</v>
      </c>
      <c r="AF27" s="109">
        <f t="shared" si="111"/>
        <v>8571.4285714285706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09"/>
      <c r="AO27" s="109">
        <f t="shared" ref="AO27" si="112">($C$27/7)*20%</f>
        <v>4285.7142857142853</v>
      </c>
      <c r="AP27" s="109"/>
      <c r="AQ27" s="109">
        <f t="shared" ref="AQ27:AR27" si="113">($C$27/7)*40%</f>
        <v>8571.4285714285706</v>
      </c>
      <c r="AR27" s="109">
        <f t="shared" si="113"/>
        <v>8571.4285714285706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/>
      <c r="BA27" s="109">
        <f t="shared" ref="BA27" si="114">($C$27/7)*20%</f>
        <v>4285.7142857142853</v>
      </c>
      <c r="BB27" s="109"/>
      <c r="BC27" s="109">
        <f t="shared" ref="BC27:BD27" si="115">($C$27/7)*40%</f>
        <v>8571.4285714285706</v>
      </c>
      <c r="BD27" s="109">
        <f t="shared" si="115"/>
        <v>8571.4285714285706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/>
      <c r="BM27" s="109">
        <f t="shared" ref="BM27" si="116">($C$27/7)*20%</f>
        <v>4285.7142857142853</v>
      </c>
      <c r="BN27" s="109"/>
      <c r="BO27" s="109">
        <f t="shared" ref="BO27:BP27" si="117">($C$27/7)*40%</f>
        <v>8571.4285714285706</v>
      </c>
      <c r="BP27" s="109">
        <f t="shared" si="117"/>
        <v>8571.4285714285706</v>
      </c>
      <c r="BQ27" s="109">
        <v>0</v>
      </c>
      <c r="BR27" s="109">
        <v>0</v>
      </c>
      <c r="BS27" s="109">
        <v>0</v>
      </c>
      <c r="BT27" s="109">
        <v>0</v>
      </c>
      <c r="BU27" s="109">
        <v>0</v>
      </c>
      <c r="BV27" s="109">
        <v>0</v>
      </c>
      <c r="BW27" s="109">
        <v>0</v>
      </c>
      <c r="BX27" s="109"/>
      <c r="BY27" s="109">
        <f t="shared" ref="BY27:CE27" si="118">($C$27/7)*20%</f>
        <v>4285.7142857142853</v>
      </c>
      <c r="BZ27" s="109"/>
      <c r="CA27" s="109">
        <f t="shared" ref="CA27:CH27" si="119">($C$27/7)*40%</f>
        <v>8571.4285714285706</v>
      </c>
      <c r="CB27" s="109">
        <f t="shared" si="119"/>
        <v>8571.4285714285706</v>
      </c>
      <c r="CC27" s="109">
        <v>0</v>
      </c>
      <c r="CD27" s="109">
        <v>0</v>
      </c>
      <c r="CE27" s="109">
        <f t="shared" si="118"/>
        <v>4285.7142857142853</v>
      </c>
      <c r="CF27" s="109"/>
      <c r="CG27" s="109">
        <f t="shared" si="119"/>
        <v>8571.4285714285706</v>
      </c>
      <c r="CH27" s="109">
        <f t="shared" si="119"/>
        <v>8571.4285714285706</v>
      </c>
      <c r="CI27" s="109">
        <v>0</v>
      </c>
      <c r="CJ27" s="109">
        <f>SUM(D27:CI27)</f>
        <v>149999.99999999997</v>
      </c>
    </row>
    <row r="28" spans="1:88" x14ac:dyDescent="0.2">
      <c r="A28" s="103" t="str">
        <f>+'3. PEP'!A42</f>
        <v>2.2.2</v>
      </c>
      <c r="B28" s="104" t="str">
        <f>+'3. PEP'!B42</f>
        <v>Contratación de Firma Consultora para la Evaluación Final del Programa</v>
      </c>
      <c r="C28" s="109">
        <f>+'3. PEP'!G42</f>
        <v>100000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09">
        <v>0</v>
      </c>
      <c r="BC28" s="109">
        <v>0</v>
      </c>
      <c r="BD28" s="109">
        <v>0</v>
      </c>
      <c r="BE28" s="109">
        <v>0</v>
      </c>
      <c r="BF28" s="109">
        <v>0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09">
        <v>0</v>
      </c>
      <c r="BT28" s="109">
        <v>0</v>
      </c>
      <c r="BU28" s="109">
        <v>0</v>
      </c>
      <c r="BV28" s="109">
        <v>0</v>
      </c>
      <c r="BW28" s="109">
        <v>0</v>
      </c>
      <c r="BX28" s="109">
        <v>0</v>
      </c>
      <c r="BY28" s="109">
        <v>0</v>
      </c>
      <c r="BZ28" s="109">
        <v>0</v>
      </c>
      <c r="CA28" s="109">
        <v>0</v>
      </c>
      <c r="CB28" s="109">
        <f>C28*0.3</f>
        <v>30000</v>
      </c>
      <c r="CC28" s="109">
        <v>0</v>
      </c>
      <c r="CD28" s="109">
        <v>0</v>
      </c>
      <c r="CE28" s="109">
        <f>C28*0.3</f>
        <v>30000</v>
      </c>
      <c r="CF28" s="109">
        <v>0</v>
      </c>
      <c r="CG28" s="109">
        <f>C28*0.4</f>
        <v>40000</v>
      </c>
      <c r="CH28" s="109">
        <v>0</v>
      </c>
      <c r="CI28" s="109">
        <v>0</v>
      </c>
      <c r="CJ28" s="109">
        <f t="shared" ref="CJ28:CJ32" si="120">SUM(D28:CI28)</f>
        <v>100000</v>
      </c>
    </row>
    <row r="29" spans="1:88" x14ac:dyDescent="0.2">
      <c r="A29" s="97">
        <f>+'4. CC D'!A26</f>
        <v>2.2999999999999998</v>
      </c>
      <c r="B29" s="84" t="str">
        <f>+'4. CC D'!B26</f>
        <v>Gestión Socio Ambiental</v>
      </c>
      <c r="C29" s="100">
        <f>+C30+C31+C32</f>
        <v>1450000</v>
      </c>
      <c r="D29" s="100">
        <f>+D30+D31+D32</f>
        <v>0</v>
      </c>
      <c r="E29" s="100">
        <f t="shared" ref="E29:BP29" si="121">+E30+E31+E32</f>
        <v>0</v>
      </c>
      <c r="F29" s="100">
        <f t="shared" si="121"/>
        <v>0</v>
      </c>
      <c r="G29" s="100">
        <f t="shared" si="121"/>
        <v>0</v>
      </c>
      <c r="H29" s="100">
        <f t="shared" si="121"/>
        <v>0</v>
      </c>
      <c r="I29" s="100">
        <f t="shared" si="121"/>
        <v>0</v>
      </c>
      <c r="J29" s="100">
        <f t="shared" si="121"/>
        <v>0</v>
      </c>
      <c r="K29" s="100">
        <f t="shared" si="121"/>
        <v>0</v>
      </c>
      <c r="L29" s="100">
        <f t="shared" si="121"/>
        <v>0</v>
      </c>
      <c r="M29" s="100">
        <f t="shared" si="121"/>
        <v>0</v>
      </c>
      <c r="N29" s="100">
        <f t="shared" si="121"/>
        <v>0</v>
      </c>
      <c r="O29" s="100">
        <f t="shared" si="121"/>
        <v>0</v>
      </c>
      <c r="P29" s="100">
        <f t="shared" si="121"/>
        <v>25000</v>
      </c>
      <c r="Q29" s="100">
        <f t="shared" si="121"/>
        <v>25000</v>
      </c>
      <c r="R29" s="100">
        <f t="shared" si="121"/>
        <v>25000</v>
      </c>
      <c r="S29" s="100">
        <f t="shared" si="121"/>
        <v>30000</v>
      </c>
      <c r="T29" s="100">
        <f t="shared" si="121"/>
        <v>30000</v>
      </c>
      <c r="U29" s="100">
        <f t="shared" si="121"/>
        <v>30000</v>
      </c>
      <c r="V29" s="100">
        <f t="shared" si="121"/>
        <v>30000</v>
      </c>
      <c r="W29" s="100">
        <f t="shared" si="121"/>
        <v>30000</v>
      </c>
      <c r="X29" s="100">
        <f t="shared" si="121"/>
        <v>30000</v>
      </c>
      <c r="Y29" s="100">
        <f t="shared" si="121"/>
        <v>30000</v>
      </c>
      <c r="Z29" s="100">
        <f t="shared" si="121"/>
        <v>30000</v>
      </c>
      <c r="AA29" s="100">
        <f t="shared" si="121"/>
        <v>30000</v>
      </c>
      <c r="AB29" s="100">
        <f t="shared" si="121"/>
        <v>30000</v>
      </c>
      <c r="AC29" s="100">
        <f t="shared" si="121"/>
        <v>30000</v>
      </c>
      <c r="AD29" s="100">
        <f t="shared" si="121"/>
        <v>30000</v>
      </c>
      <c r="AE29" s="100">
        <f t="shared" si="121"/>
        <v>30000</v>
      </c>
      <c r="AF29" s="100">
        <f t="shared" si="121"/>
        <v>30000</v>
      </c>
      <c r="AG29" s="100">
        <f t="shared" si="121"/>
        <v>30000</v>
      </c>
      <c r="AH29" s="100">
        <f t="shared" si="121"/>
        <v>30000</v>
      </c>
      <c r="AI29" s="100">
        <f t="shared" si="121"/>
        <v>30000</v>
      </c>
      <c r="AJ29" s="100">
        <f t="shared" si="121"/>
        <v>30000</v>
      </c>
      <c r="AK29" s="100">
        <f t="shared" si="121"/>
        <v>30000</v>
      </c>
      <c r="AL29" s="100">
        <f t="shared" si="121"/>
        <v>30000</v>
      </c>
      <c r="AM29" s="100">
        <f t="shared" si="121"/>
        <v>30000</v>
      </c>
      <c r="AN29" s="100">
        <f t="shared" si="121"/>
        <v>30000</v>
      </c>
      <c r="AO29" s="100">
        <f t="shared" si="121"/>
        <v>30000</v>
      </c>
      <c r="AP29" s="100">
        <f t="shared" si="121"/>
        <v>30000</v>
      </c>
      <c r="AQ29" s="100">
        <f t="shared" si="121"/>
        <v>30000</v>
      </c>
      <c r="AR29" s="100">
        <f t="shared" si="121"/>
        <v>30000</v>
      </c>
      <c r="AS29" s="100">
        <f t="shared" si="121"/>
        <v>30000</v>
      </c>
      <c r="AT29" s="100">
        <f t="shared" si="121"/>
        <v>30000</v>
      </c>
      <c r="AU29" s="100">
        <f t="shared" si="121"/>
        <v>30000</v>
      </c>
      <c r="AV29" s="100">
        <f t="shared" si="121"/>
        <v>30000</v>
      </c>
      <c r="AW29" s="100">
        <f t="shared" si="121"/>
        <v>30000</v>
      </c>
      <c r="AX29" s="100">
        <f t="shared" si="121"/>
        <v>30000</v>
      </c>
      <c r="AY29" s="100">
        <f t="shared" si="121"/>
        <v>30000</v>
      </c>
      <c r="AZ29" s="100">
        <f t="shared" si="121"/>
        <v>30000</v>
      </c>
      <c r="BA29" s="100">
        <f t="shared" si="121"/>
        <v>30000</v>
      </c>
      <c r="BB29" s="100">
        <f t="shared" si="121"/>
        <v>30000</v>
      </c>
      <c r="BC29" s="100">
        <f t="shared" si="121"/>
        <v>30000</v>
      </c>
      <c r="BD29" s="100">
        <f t="shared" si="121"/>
        <v>30000</v>
      </c>
      <c r="BE29" s="100">
        <f t="shared" si="121"/>
        <v>30000</v>
      </c>
      <c r="BF29" s="100">
        <f t="shared" si="121"/>
        <v>30000</v>
      </c>
      <c r="BG29" s="100">
        <f t="shared" si="121"/>
        <v>30000</v>
      </c>
      <c r="BH29" s="100">
        <f t="shared" si="121"/>
        <v>30000</v>
      </c>
      <c r="BI29" s="100">
        <f t="shared" si="121"/>
        <v>30000</v>
      </c>
      <c r="BJ29" s="100">
        <f t="shared" si="121"/>
        <v>30000</v>
      </c>
      <c r="BK29" s="100">
        <f t="shared" si="121"/>
        <v>30000</v>
      </c>
      <c r="BL29" s="100">
        <f t="shared" si="121"/>
        <v>5000</v>
      </c>
      <c r="BM29" s="100">
        <f t="shared" si="121"/>
        <v>5000</v>
      </c>
      <c r="BN29" s="100">
        <f t="shared" si="121"/>
        <v>5000</v>
      </c>
      <c r="BO29" s="100">
        <f t="shared" si="121"/>
        <v>5000</v>
      </c>
      <c r="BP29" s="100">
        <f t="shared" si="121"/>
        <v>5000</v>
      </c>
      <c r="BQ29" s="100">
        <f t="shared" ref="BQ29:CI29" si="122">+BQ30+BQ31+BQ32</f>
        <v>0</v>
      </c>
      <c r="BR29" s="100">
        <f t="shared" si="122"/>
        <v>0</v>
      </c>
      <c r="BS29" s="100">
        <f t="shared" si="122"/>
        <v>0</v>
      </c>
      <c r="BT29" s="100">
        <f t="shared" si="122"/>
        <v>0</v>
      </c>
      <c r="BU29" s="100">
        <f t="shared" si="122"/>
        <v>0</v>
      </c>
      <c r="BV29" s="100">
        <f t="shared" si="122"/>
        <v>0</v>
      </c>
      <c r="BW29" s="100">
        <f t="shared" si="122"/>
        <v>0</v>
      </c>
      <c r="BX29" s="100">
        <f t="shared" si="122"/>
        <v>0</v>
      </c>
      <c r="BY29" s="100">
        <f t="shared" si="122"/>
        <v>0</v>
      </c>
      <c r="BZ29" s="100">
        <f t="shared" si="122"/>
        <v>0</v>
      </c>
      <c r="CA29" s="100">
        <f t="shared" si="122"/>
        <v>0</v>
      </c>
      <c r="CB29" s="100">
        <f t="shared" si="122"/>
        <v>0</v>
      </c>
      <c r="CC29" s="100">
        <f t="shared" si="122"/>
        <v>0</v>
      </c>
      <c r="CD29" s="100">
        <f t="shared" si="122"/>
        <v>0</v>
      </c>
      <c r="CE29" s="100">
        <f t="shared" si="122"/>
        <v>0</v>
      </c>
      <c r="CF29" s="100">
        <f t="shared" si="122"/>
        <v>0</v>
      </c>
      <c r="CG29" s="100">
        <f t="shared" si="122"/>
        <v>0</v>
      </c>
      <c r="CH29" s="100">
        <f t="shared" si="122"/>
        <v>0</v>
      </c>
      <c r="CI29" s="100">
        <f t="shared" si="122"/>
        <v>0</v>
      </c>
      <c r="CJ29" s="100">
        <f>+CJ30+CJ31+CJ32</f>
        <v>1450000.0000000005</v>
      </c>
    </row>
    <row r="30" spans="1:88" x14ac:dyDescent="0.2">
      <c r="A30" s="103" t="str">
        <f>+'4. CC D'!A27</f>
        <v>2.2.1</v>
      </c>
      <c r="B30" s="104" t="str">
        <f>+'4. CC D'!B27</f>
        <v>Monitoreo y Evaluación Socio Ambiental</v>
      </c>
      <c r="C30" s="109">
        <f>+'3. PEP'!G44</f>
        <v>250000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f>+C30/50</f>
        <v>5000</v>
      </c>
      <c r="T30" s="109">
        <f>+S30</f>
        <v>5000</v>
      </c>
      <c r="U30" s="109">
        <f>+T30</f>
        <v>5000</v>
      </c>
      <c r="V30" s="109">
        <f t="shared" ref="V30:BP30" si="123">+U30</f>
        <v>5000</v>
      </c>
      <c r="W30" s="109">
        <f t="shared" si="123"/>
        <v>5000</v>
      </c>
      <c r="X30" s="109">
        <f t="shared" si="123"/>
        <v>5000</v>
      </c>
      <c r="Y30" s="109">
        <f t="shared" si="123"/>
        <v>5000</v>
      </c>
      <c r="Z30" s="109">
        <f t="shared" si="123"/>
        <v>5000</v>
      </c>
      <c r="AA30" s="109">
        <f t="shared" si="123"/>
        <v>5000</v>
      </c>
      <c r="AB30" s="109">
        <f t="shared" si="123"/>
        <v>5000</v>
      </c>
      <c r="AC30" s="109">
        <f t="shared" si="123"/>
        <v>5000</v>
      </c>
      <c r="AD30" s="109">
        <f t="shared" si="123"/>
        <v>5000</v>
      </c>
      <c r="AE30" s="109">
        <f t="shared" si="123"/>
        <v>5000</v>
      </c>
      <c r="AF30" s="109">
        <f t="shared" si="123"/>
        <v>5000</v>
      </c>
      <c r="AG30" s="109">
        <f t="shared" si="123"/>
        <v>5000</v>
      </c>
      <c r="AH30" s="109">
        <f t="shared" si="123"/>
        <v>5000</v>
      </c>
      <c r="AI30" s="109">
        <f t="shared" si="123"/>
        <v>5000</v>
      </c>
      <c r="AJ30" s="109">
        <f t="shared" si="123"/>
        <v>5000</v>
      </c>
      <c r="AK30" s="109">
        <f t="shared" si="123"/>
        <v>5000</v>
      </c>
      <c r="AL30" s="109">
        <f t="shared" si="123"/>
        <v>5000</v>
      </c>
      <c r="AM30" s="109">
        <f t="shared" si="123"/>
        <v>5000</v>
      </c>
      <c r="AN30" s="109">
        <f t="shared" si="123"/>
        <v>5000</v>
      </c>
      <c r="AO30" s="109">
        <f t="shared" si="123"/>
        <v>5000</v>
      </c>
      <c r="AP30" s="109">
        <f t="shared" si="123"/>
        <v>5000</v>
      </c>
      <c r="AQ30" s="109">
        <f t="shared" si="123"/>
        <v>5000</v>
      </c>
      <c r="AR30" s="109">
        <f t="shared" si="123"/>
        <v>5000</v>
      </c>
      <c r="AS30" s="109">
        <f t="shared" si="123"/>
        <v>5000</v>
      </c>
      <c r="AT30" s="109">
        <f t="shared" si="123"/>
        <v>5000</v>
      </c>
      <c r="AU30" s="109">
        <f t="shared" si="123"/>
        <v>5000</v>
      </c>
      <c r="AV30" s="109">
        <f t="shared" si="123"/>
        <v>5000</v>
      </c>
      <c r="AW30" s="109">
        <f t="shared" si="123"/>
        <v>5000</v>
      </c>
      <c r="AX30" s="109">
        <f t="shared" si="123"/>
        <v>5000</v>
      </c>
      <c r="AY30" s="109">
        <f t="shared" si="123"/>
        <v>5000</v>
      </c>
      <c r="AZ30" s="109">
        <f t="shared" si="123"/>
        <v>5000</v>
      </c>
      <c r="BA30" s="109">
        <f t="shared" si="123"/>
        <v>5000</v>
      </c>
      <c r="BB30" s="109">
        <f t="shared" si="123"/>
        <v>5000</v>
      </c>
      <c r="BC30" s="109">
        <f t="shared" si="123"/>
        <v>5000</v>
      </c>
      <c r="BD30" s="109">
        <f t="shared" si="123"/>
        <v>5000</v>
      </c>
      <c r="BE30" s="109">
        <f t="shared" si="123"/>
        <v>5000</v>
      </c>
      <c r="BF30" s="109">
        <f t="shared" si="123"/>
        <v>5000</v>
      </c>
      <c r="BG30" s="109">
        <f t="shared" si="123"/>
        <v>5000</v>
      </c>
      <c r="BH30" s="109">
        <f t="shared" si="123"/>
        <v>5000</v>
      </c>
      <c r="BI30" s="109">
        <f t="shared" si="123"/>
        <v>5000</v>
      </c>
      <c r="BJ30" s="109">
        <f t="shared" si="123"/>
        <v>5000</v>
      </c>
      <c r="BK30" s="109">
        <f t="shared" si="123"/>
        <v>5000</v>
      </c>
      <c r="BL30" s="109">
        <f t="shared" si="123"/>
        <v>5000</v>
      </c>
      <c r="BM30" s="109">
        <f t="shared" si="123"/>
        <v>5000</v>
      </c>
      <c r="BN30" s="109">
        <f t="shared" si="123"/>
        <v>5000</v>
      </c>
      <c r="BO30" s="109">
        <f t="shared" si="123"/>
        <v>5000</v>
      </c>
      <c r="BP30" s="109">
        <f t="shared" si="123"/>
        <v>5000</v>
      </c>
      <c r="BQ30" s="109">
        <v>0</v>
      </c>
      <c r="BR30" s="109">
        <v>0</v>
      </c>
      <c r="BS30" s="109">
        <v>0</v>
      </c>
      <c r="BT30" s="109">
        <v>0</v>
      </c>
      <c r="BU30" s="109">
        <v>0</v>
      </c>
      <c r="BV30" s="109">
        <v>0</v>
      </c>
      <c r="BW30" s="109">
        <v>0</v>
      </c>
      <c r="BX30" s="109">
        <v>0</v>
      </c>
      <c r="BY30" s="109">
        <v>0</v>
      </c>
      <c r="BZ30" s="109">
        <v>0</v>
      </c>
      <c r="CA30" s="109">
        <v>0</v>
      </c>
      <c r="CB30" s="109">
        <v>0</v>
      </c>
      <c r="CC30" s="109">
        <v>0</v>
      </c>
      <c r="CD30" s="109">
        <v>0</v>
      </c>
      <c r="CE30" s="109">
        <v>0</v>
      </c>
      <c r="CF30" s="109">
        <v>0</v>
      </c>
      <c r="CG30" s="109">
        <v>0</v>
      </c>
      <c r="CH30" s="109">
        <v>0</v>
      </c>
      <c r="CI30" s="109">
        <v>0</v>
      </c>
      <c r="CJ30" s="109">
        <f t="shared" si="120"/>
        <v>250000</v>
      </c>
    </row>
    <row r="31" spans="1:88" x14ac:dyDescent="0.2">
      <c r="A31" s="103" t="str">
        <f>+'4. CC D'!A28</f>
        <v>2.2.2</v>
      </c>
      <c r="B31" s="104" t="str">
        <f>+'4. CC D'!B28</f>
        <v>Plan de Gestión Socio Ambiental</v>
      </c>
      <c r="C31" s="109">
        <f>+'3. PEP'!G45</f>
        <v>500000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f>+C31/48</f>
        <v>10416.666666666666</v>
      </c>
      <c r="Q31" s="109">
        <f>+P31</f>
        <v>10416.666666666666</v>
      </c>
      <c r="R31" s="109">
        <f>+Q31</f>
        <v>10416.666666666666</v>
      </c>
      <c r="S31" s="109">
        <f>+R31</f>
        <v>10416.666666666666</v>
      </c>
      <c r="T31" s="109">
        <f>+S31</f>
        <v>10416.666666666666</v>
      </c>
      <c r="U31" s="109">
        <f t="shared" ref="U31:BK31" si="124">+T31</f>
        <v>10416.666666666666</v>
      </c>
      <c r="V31" s="109">
        <f t="shared" si="124"/>
        <v>10416.666666666666</v>
      </c>
      <c r="W31" s="109">
        <f t="shared" si="124"/>
        <v>10416.666666666666</v>
      </c>
      <c r="X31" s="109">
        <f t="shared" si="124"/>
        <v>10416.666666666666</v>
      </c>
      <c r="Y31" s="109">
        <f t="shared" si="124"/>
        <v>10416.666666666666</v>
      </c>
      <c r="Z31" s="109">
        <f t="shared" si="124"/>
        <v>10416.666666666666</v>
      </c>
      <c r="AA31" s="109">
        <f t="shared" si="124"/>
        <v>10416.666666666666</v>
      </c>
      <c r="AB31" s="109">
        <f t="shared" si="124"/>
        <v>10416.666666666666</v>
      </c>
      <c r="AC31" s="109">
        <f t="shared" si="124"/>
        <v>10416.666666666666</v>
      </c>
      <c r="AD31" s="109">
        <f t="shared" si="124"/>
        <v>10416.666666666666</v>
      </c>
      <c r="AE31" s="109">
        <f t="shared" si="124"/>
        <v>10416.666666666666</v>
      </c>
      <c r="AF31" s="109">
        <f t="shared" si="124"/>
        <v>10416.666666666666</v>
      </c>
      <c r="AG31" s="109">
        <f t="shared" si="124"/>
        <v>10416.666666666666</v>
      </c>
      <c r="AH31" s="109">
        <f t="shared" si="124"/>
        <v>10416.666666666666</v>
      </c>
      <c r="AI31" s="109">
        <f t="shared" si="124"/>
        <v>10416.666666666666</v>
      </c>
      <c r="AJ31" s="109">
        <f t="shared" si="124"/>
        <v>10416.666666666666</v>
      </c>
      <c r="AK31" s="109">
        <f t="shared" si="124"/>
        <v>10416.666666666666</v>
      </c>
      <c r="AL31" s="109">
        <f t="shared" si="124"/>
        <v>10416.666666666666</v>
      </c>
      <c r="AM31" s="109">
        <f t="shared" si="124"/>
        <v>10416.666666666666</v>
      </c>
      <c r="AN31" s="109">
        <f t="shared" si="124"/>
        <v>10416.666666666666</v>
      </c>
      <c r="AO31" s="109">
        <f t="shared" si="124"/>
        <v>10416.666666666666</v>
      </c>
      <c r="AP31" s="109">
        <f t="shared" si="124"/>
        <v>10416.666666666666</v>
      </c>
      <c r="AQ31" s="109">
        <f t="shared" si="124"/>
        <v>10416.666666666666</v>
      </c>
      <c r="AR31" s="109">
        <f t="shared" si="124"/>
        <v>10416.666666666666</v>
      </c>
      <c r="AS31" s="109">
        <f t="shared" si="124"/>
        <v>10416.666666666666</v>
      </c>
      <c r="AT31" s="109">
        <f t="shared" si="124"/>
        <v>10416.666666666666</v>
      </c>
      <c r="AU31" s="109">
        <f t="shared" si="124"/>
        <v>10416.666666666666</v>
      </c>
      <c r="AV31" s="109">
        <f t="shared" si="124"/>
        <v>10416.666666666666</v>
      </c>
      <c r="AW31" s="109">
        <f t="shared" si="124"/>
        <v>10416.666666666666</v>
      </c>
      <c r="AX31" s="109">
        <f t="shared" si="124"/>
        <v>10416.666666666666</v>
      </c>
      <c r="AY31" s="109">
        <f t="shared" si="124"/>
        <v>10416.666666666666</v>
      </c>
      <c r="AZ31" s="109">
        <f t="shared" si="124"/>
        <v>10416.666666666666</v>
      </c>
      <c r="BA31" s="109">
        <f t="shared" si="124"/>
        <v>10416.666666666666</v>
      </c>
      <c r="BB31" s="109">
        <f t="shared" si="124"/>
        <v>10416.666666666666</v>
      </c>
      <c r="BC31" s="109">
        <f t="shared" si="124"/>
        <v>10416.666666666666</v>
      </c>
      <c r="BD31" s="109">
        <f t="shared" si="124"/>
        <v>10416.666666666666</v>
      </c>
      <c r="BE31" s="109">
        <f t="shared" si="124"/>
        <v>10416.666666666666</v>
      </c>
      <c r="BF31" s="109">
        <f t="shared" si="124"/>
        <v>10416.666666666666</v>
      </c>
      <c r="BG31" s="109">
        <f t="shared" si="124"/>
        <v>10416.666666666666</v>
      </c>
      <c r="BH31" s="109">
        <f t="shared" si="124"/>
        <v>10416.666666666666</v>
      </c>
      <c r="BI31" s="109">
        <f t="shared" si="124"/>
        <v>10416.666666666666</v>
      </c>
      <c r="BJ31" s="109">
        <f t="shared" si="124"/>
        <v>10416.666666666666</v>
      </c>
      <c r="BK31" s="109">
        <f t="shared" si="124"/>
        <v>10416.666666666666</v>
      </c>
      <c r="BL31" s="109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09">
        <v>0</v>
      </c>
      <c r="BT31" s="109">
        <v>0</v>
      </c>
      <c r="BU31" s="109">
        <v>0</v>
      </c>
      <c r="BV31" s="109">
        <v>0</v>
      </c>
      <c r="BW31" s="109">
        <v>0</v>
      </c>
      <c r="BX31" s="109">
        <v>0</v>
      </c>
      <c r="BY31" s="109">
        <v>0</v>
      </c>
      <c r="BZ31" s="109">
        <v>0</v>
      </c>
      <c r="CA31" s="109">
        <v>0</v>
      </c>
      <c r="CB31" s="109">
        <v>0</v>
      </c>
      <c r="CC31" s="109">
        <v>0</v>
      </c>
      <c r="CD31" s="109">
        <v>0</v>
      </c>
      <c r="CE31" s="109">
        <v>0</v>
      </c>
      <c r="CF31" s="109">
        <v>0</v>
      </c>
      <c r="CG31" s="109">
        <v>0</v>
      </c>
      <c r="CH31" s="109">
        <v>0</v>
      </c>
      <c r="CI31" s="109">
        <v>0</v>
      </c>
      <c r="CJ31" s="109">
        <f t="shared" si="120"/>
        <v>500000.00000000035</v>
      </c>
    </row>
    <row r="32" spans="1:88" x14ac:dyDescent="0.2">
      <c r="A32" s="103" t="str">
        <f>+'4. CC D'!A29</f>
        <v>2.2.3</v>
      </c>
      <c r="B32" s="104" t="str">
        <f>+'4. CC D'!B29</f>
        <v>Pagos por Servicios Ambientales</v>
      </c>
      <c r="C32" s="109">
        <f>+'3. PEP'!G46</f>
        <v>700000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f>+C32/48</f>
        <v>14583.333333333334</v>
      </c>
      <c r="Q32" s="109">
        <f>+P32</f>
        <v>14583.333333333334</v>
      </c>
      <c r="R32" s="109">
        <f>+Q32</f>
        <v>14583.333333333334</v>
      </c>
      <c r="S32" s="109">
        <f t="shared" ref="S32:BK32" si="125">+R32</f>
        <v>14583.333333333334</v>
      </c>
      <c r="T32" s="109">
        <f t="shared" si="125"/>
        <v>14583.333333333334</v>
      </c>
      <c r="U32" s="109">
        <f t="shared" si="125"/>
        <v>14583.333333333334</v>
      </c>
      <c r="V32" s="109">
        <f t="shared" si="125"/>
        <v>14583.333333333334</v>
      </c>
      <c r="W32" s="109">
        <f t="shared" si="125"/>
        <v>14583.333333333334</v>
      </c>
      <c r="X32" s="109">
        <f t="shared" si="125"/>
        <v>14583.333333333334</v>
      </c>
      <c r="Y32" s="109">
        <f t="shared" si="125"/>
        <v>14583.333333333334</v>
      </c>
      <c r="Z32" s="109">
        <f t="shared" si="125"/>
        <v>14583.333333333334</v>
      </c>
      <c r="AA32" s="109">
        <f t="shared" si="125"/>
        <v>14583.333333333334</v>
      </c>
      <c r="AB32" s="109">
        <f t="shared" si="125"/>
        <v>14583.333333333334</v>
      </c>
      <c r="AC32" s="109">
        <f t="shared" si="125"/>
        <v>14583.333333333334</v>
      </c>
      <c r="AD32" s="109">
        <f t="shared" si="125"/>
        <v>14583.333333333334</v>
      </c>
      <c r="AE32" s="109">
        <f t="shared" si="125"/>
        <v>14583.333333333334</v>
      </c>
      <c r="AF32" s="109">
        <f t="shared" si="125"/>
        <v>14583.333333333334</v>
      </c>
      <c r="AG32" s="109">
        <f t="shared" si="125"/>
        <v>14583.333333333334</v>
      </c>
      <c r="AH32" s="109">
        <f t="shared" si="125"/>
        <v>14583.333333333334</v>
      </c>
      <c r="AI32" s="109">
        <f t="shared" si="125"/>
        <v>14583.333333333334</v>
      </c>
      <c r="AJ32" s="109">
        <f t="shared" si="125"/>
        <v>14583.333333333334</v>
      </c>
      <c r="AK32" s="109">
        <f t="shared" si="125"/>
        <v>14583.333333333334</v>
      </c>
      <c r="AL32" s="109">
        <f t="shared" si="125"/>
        <v>14583.333333333334</v>
      </c>
      <c r="AM32" s="109">
        <f t="shared" si="125"/>
        <v>14583.333333333334</v>
      </c>
      <c r="AN32" s="109">
        <f t="shared" si="125"/>
        <v>14583.333333333334</v>
      </c>
      <c r="AO32" s="109">
        <f t="shared" si="125"/>
        <v>14583.333333333334</v>
      </c>
      <c r="AP32" s="109">
        <f t="shared" si="125"/>
        <v>14583.333333333334</v>
      </c>
      <c r="AQ32" s="109">
        <f t="shared" si="125"/>
        <v>14583.333333333334</v>
      </c>
      <c r="AR32" s="109">
        <f t="shared" si="125"/>
        <v>14583.333333333334</v>
      </c>
      <c r="AS32" s="109">
        <f t="shared" si="125"/>
        <v>14583.333333333334</v>
      </c>
      <c r="AT32" s="109">
        <f t="shared" si="125"/>
        <v>14583.333333333334</v>
      </c>
      <c r="AU32" s="109">
        <f t="shared" si="125"/>
        <v>14583.333333333334</v>
      </c>
      <c r="AV32" s="109">
        <f t="shared" si="125"/>
        <v>14583.333333333334</v>
      </c>
      <c r="AW32" s="109">
        <f t="shared" si="125"/>
        <v>14583.333333333334</v>
      </c>
      <c r="AX32" s="109">
        <f t="shared" si="125"/>
        <v>14583.333333333334</v>
      </c>
      <c r="AY32" s="109">
        <f t="shared" si="125"/>
        <v>14583.333333333334</v>
      </c>
      <c r="AZ32" s="109">
        <f t="shared" si="125"/>
        <v>14583.333333333334</v>
      </c>
      <c r="BA32" s="109">
        <f t="shared" si="125"/>
        <v>14583.333333333334</v>
      </c>
      <c r="BB32" s="109">
        <f t="shared" si="125"/>
        <v>14583.333333333334</v>
      </c>
      <c r="BC32" s="109">
        <f t="shared" si="125"/>
        <v>14583.333333333334</v>
      </c>
      <c r="BD32" s="109">
        <f t="shared" si="125"/>
        <v>14583.333333333334</v>
      </c>
      <c r="BE32" s="109">
        <f t="shared" si="125"/>
        <v>14583.333333333334</v>
      </c>
      <c r="BF32" s="109">
        <f t="shared" si="125"/>
        <v>14583.333333333334</v>
      </c>
      <c r="BG32" s="109">
        <f t="shared" si="125"/>
        <v>14583.333333333334</v>
      </c>
      <c r="BH32" s="109">
        <f t="shared" si="125"/>
        <v>14583.333333333334</v>
      </c>
      <c r="BI32" s="109">
        <f t="shared" si="125"/>
        <v>14583.333333333334</v>
      </c>
      <c r="BJ32" s="109">
        <f t="shared" si="125"/>
        <v>14583.333333333334</v>
      </c>
      <c r="BK32" s="109">
        <f t="shared" si="125"/>
        <v>14583.333333333334</v>
      </c>
      <c r="BL32" s="109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09">
        <v>0</v>
      </c>
      <c r="BT32" s="109">
        <v>0</v>
      </c>
      <c r="BU32" s="109">
        <v>0</v>
      </c>
      <c r="BV32" s="109">
        <v>0</v>
      </c>
      <c r="BW32" s="109">
        <v>0</v>
      </c>
      <c r="BX32" s="109">
        <v>0</v>
      </c>
      <c r="BY32" s="109">
        <v>0</v>
      </c>
      <c r="BZ32" s="109">
        <v>0</v>
      </c>
      <c r="CA32" s="109">
        <v>0</v>
      </c>
      <c r="CB32" s="109">
        <v>0</v>
      </c>
      <c r="CC32" s="109">
        <v>0</v>
      </c>
      <c r="CD32" s="109">
        <v>0</v>
      </c>
      <c r="CE32" s="109">
        <v>0</v>
      </c>
      <c r="CF32" s="109">
        <v>0</v>
      </c>
      <c r="CG32" s="109">
        <v>0</v>
      </c>
      <c r="CH32" s="109">
        <v>0</v>
      </c>
      <c r="CI32" s="109">
        <v>0</v>
      </c>
      <c r="CJ32" s="109">
        <f t="shared" si="120"/>
        <v>700000.00000000023</v>
      </c>
    </row>
    <row r="33" spans="1:88" x14ac:dyDescent="0.2">
      <c r="A33" s="176"/>
      <c r="B33" s="177" t="s">
        <v>185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>
        <f>SUM(D11:U11)</f>
        <v>16774038.095238097</v>
      </c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>
        <f>SUM(V11:AG11)</f>
        <v>23285223.80952381</v>
      </c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>
        <f>SUM(AH11:AS11)</f>
        <v>16913423.80952381</v>
      </c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>
        <f>SUM(AT11:BE11)</f>
        <v>20313373.80952381</v>
      </c>
      <c r="BF33" s="178"/>
      <c r="BG33" s="178"/>
      <c r="BH33" s="178"/>
      <c r="BI33" s="178"/>
      <c r="BJ33" s="178"/>
      <c r="BK33" s="178">
        <f>SUM(BF11:BK11)</f>
        <v>5040947.6190476194</v>
      </c>
      <c r="BL33" s="178"/>
      <c r="BM33" s="178"/>
      <c r="BN33" s="178"/>
      <c r="BO33" s="178"/>
      <c r="BP33" s="178"/>
      <c r="BQ33" s="178">
        <f t="shared" ref="BQ33" si="126">SUM(BL11:BQ11)</f>
        <v>1616326.1904761908</v>
      </c>
      <c r="BR33" s="178"/>
      <c r="BS33" s="178"/>
      <c r="BT33" s="178"/>
      <c r="BU33" s="178"/>
      <c r="BV33" s="178"/>
      <c r="BW33" s="178">
        <f t="shared" ref="BW33" si="127">SUM(BR11:BW11)</f>
        <v>1309047.6190476192</v>
      </c>
      <c r="BX33" s="178"/>
      <c r="BY33" s="178"/>
      <c r="BZ33" s="178"/>
      <c r="CA33" s="178"/>
      <c r="CB33" s="178"/>
      <c r="CC33" s="178">
        <f t="shared" ref="CC33" si="128">SUM(BX11:CC11)</f>
        <v>1360476.1904761908</v>
      </c>
      <c r="CD33" s="178"/>
      <c r="CE33" s="178"/>
      <c r="CF33" s="178"/>
      <c r="CG33" s="178"/>
      <c r="CH33" s="178"/>
      <c r="CI33" s="178">
        <f t="shared" ref="CI33" si="129">SUM(CD11:CI11)</f>
        <v>1937142.8571428573</v>
      </c>
      <c r="CJ33" s="179"/>
    </row>
  </sheetData>
  <mergeCells count="37">
    <mergeCell ref="AN7:AY7"/>
    <mergeCell ref="AZ7:BK7"/>
    <mergeCell ref="D8:F8"/>
    <mergeCell ref="G8:I8"/>
    <mergeCell ref="J8:L8"/>
    <mergeCell ref="M8:O8"/>
    <mergeCell ref="AE8:AG8"/>
    <mergeCell ref="AN8:AP8"/>
    <mergeCell ref="AQ8:AS8"/>
    <mergeCell ref="AT8:AV8"/>
    <mergeCell ref="AW8:AY8"/>
    <mergeCell ref="A7:B10"/>
    <mergeCell ref="D7:O7"/>
    <mergeCell ref="P7:AA7"/>
    <mergeCell ref="AB7:AM7"/>
    <mergeCell ref="P8:R8"/>
    <mergeCell ref="S8:U8"/>
    <mergeCell ref="V8:X8"/>
    <mergeCell ref="Y8:AA8"/>
    <mergeCell ref="AB8:AD8"/>
    <mergeCell ref="AK8:AM8"/>
    <mergeCell ref="BL7:BW7"/>
    <mergeCell ref="BX7:CI7"/>
    <mergeCell ref="A4:B4"/>
    <mergeCell ref="BR8:BT8"/>
    <mergeCell ref="BU8:BW8"/>
    <mergeCell ref="BX8:BZ8"/>
    <mergeCell ref="CA8:CC8"/>
    <mergeCell ref="CD8:CF8"/>
    <mergeCell ref="CG8:CI8"/>
    <mergeCell ref="AZ8:BB8"/>
    <mergeCell ref="BC8:BE8"/>
    <mergeCell ref="BF8:BH8"/>
    <mergeCell ref="BI8:BK8"/>
    <mergeCell ref="BL8:BN8"/>
    <mergeCell ref="BO8:BQ8"/>
    <mergeCell ref="AH8:AJ8"/>
  </mergeCells>
  <pageMargins left="0.31496062992125984" right="0.31496062992125984" top="0.27559055118110237" bottom="0.27559055118110237" header="0.31496062992125984" footer="0.31496062992125984"/>
  <pageSetup paperSize="9" scale="53" orientation="landscape" r:id="rId1"/>
  <colBreaks count="4" manualBreakCount="4">
    <brk id="15" max="126" man="1"/>
    <brk id="27" max="126" man="1"/>
    <brk id="39" max="126" man="1"/>
    <brk id="51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2"/>
  <sheetViews>
    <sheetView showGridLines="0" topLeftCell="A4" zoomScale="80" zoomScaleNormal="80" zoomScaleSheetLayoutView="80" workbookViewId="0">
      <selection activeCell="D35" sqref="D35"/>
    </sheetView>
  </sheetViews>
  <sheetFormatPr defaultColWidth="9.140625" defaultRowHeight="12.75" x14ac:dyDescent="0.2"/>
  <cols>
    <col min="1" max="1" width="8.85546875" style="180" customWidth="1"/>
    <col min="2" max="2" width="49.85546875" style="161" customWidth="1"/>
    <col min="3" max="3" width="16.85546875" style="270" customWidth="1"/>
    <col min="4" max="8" width="15.42578125" style="270" customWidth="1"/>
    <col min="9" max="9" width="18" style="270" bestFit="1" customWidth="1"/>
    <col min="10" max="10" width="15" style="161" bestFit="1" customWidth="1"/>
    <col min="11" max="11" width="11.42578125" style="161" bestFit="1" customWidth="1"/>
    <col min="12" max="16384" width="9.140625" style="161"/>
  </cols>
  <sheetData>
    <row r="1" spans="1:10" ht="15" x14ac:dyDescent="0.25">
      <c r="A1" s="267" t="s">
        <v>246</v>
      </c>
      <c r="B1" s="268"/>
      <c r="C1" s="269"/>
      <c r="D1" s="269"/>
    </row>
    <row r="2" spans="1:10" ht="15" x14ac:dyDescent="0.25">
      <c r="A2" s="267" t="s">
        <v>10</v>
      </c>
      <c r="B2" s="268"/>
      <c r="C2" s="269"/>
      <c r="D2" s="269"/>
    </row>
    <row r="3" spans="1:10" ht="15" x14ac:dyDescent="0.25">
      <c r="A3" s="267"/>
      <c r="B3" s="271"/>
      <c r="C3" s="272"/>
      <c r="D3" s="272"/>
    </row>
    <row r="4" spans="1:10" ht="15" x14ac:dyDescent="0.25">
      <c r="A4" s="267" t="str">
        <f>+'6. PF M BID'!A4:B4</f>
        <v>Operación: Programa de Mejoramiento y conservación de corredores viales</v>
      </c>
      <c r="B4" s="268"/>
      <c r="C4" s="269"/>
      <c r="D4" s="269"/>
    </row>
    <row r="5" spans="1:10" ht="15" x14ac:dyDescent="0.25">
      <c r="A5" s="267"/>
      <c r="B5" s="271"/>
      <c r="C5" s="272"/>
      <c r="D5" s="272"/>
    </row>
    <row r="6" spans="1:10" ht="15" x14ac:dyDescent="0.25">
      <c r="A6" s="267" t="s">
        <v>11</v>
      </c>
      <c r="B6" s="268"/>
      <c r="C6" s="269"/>
      <c r="D6" s="269"/>
    </row>
    <row r="7" spans="1:10" ht="13.5" thickBot="1" x14ac:dyDescent="0.25"/>
    <row r="8" spans="1:10" s="171" customFormat="1" x14ac:dyDescent="0.2">
      <c r="A8" s="494" t="s">
        <v>411</v>
      </c>
      <c r="B8" s="495"/>
      <c r="C8" s="273" t="s">
        <v>24</v>
      </c>
      <c r="D8" s="273" t="s">
        <v>14</v>
      </c>
      <c r="E8" s="273" t="s">
        <v>15</v>
      </c>
      <c r="F8" s="273" t="s">
        <v>16</v>
      </c>
      <c r="G8" s="273" t="s">
        <v>17</v>
      </c>
      <c r="H8" s="273" t="s">
        <v>18</v>
      </c>
      <c r="I8" s="273" t="s">
        <v>111</v>
      </c>
      <c r="J8" s="273" t="s">
        <v>112</v>
      </c>
    </row>
    <row r="9" spans="1:10" x14ac:dyDescent="0.2">
      <c r="A9" s="274" t="str">
        <f>+'6. PF M BID'!A12</f>
        <v>1.</v>
      </c>
      <c r="B9" s="275" t="str">
        <f>+'6. PF M BID'!B12</f>
        <v>Componente Unico Obras civiles</v>
      </c>
      <c r="C9" s="276">
        <f t="shared" ref="C9:J9" si="0">+C10+C15</f>
        <v>85000000</v>
      </c>
      <c r="D9" s="276">
        <f t="shared" si="0"/>
        <v>7730000</v>
      </c>
      <c r="E9" s="276">
        <f t="shared" si="0"/>
        <v>18935900</v>
      </c>
      <c r="F9" s="276">
        <f t="shared" si="0"/>
        <v>15965766.666666666</v>
      </c>
      <c r="G9" s="276">
        <f t="shared" si="0"/>
        <v>21591616.666666668</v>
      </c>
      <c r="H9" s="276">
        <f t="shared" si="0"/>
        <v>15660866.666666668</v>
      </c>
      <c r="I9" s="276">
        <f t="shared" si="0"/>
        <v>2432516.666666667</v>
      </c>
      <c r="J9" s="276">
        <f t="shared" si="0"/>
        <v>2683333.3333333335</v>
      </c>
    </row>
    <row r="10" spans="1:10" ht="25.5" x14ac:dyDescent="0.2">
      <c r="A10" s="97">
        <f>+'6. PF M BID'!A13</f>
        <v>1.1000000000000001</v>
      </c>
      <c r="B10" s="84" t="str">
        <f>+'6. PF M BID'!B13</f>
        <v>Producto 1: 117.5 km de carreteras mejoradas y rehabilitadas</v>
      </c>
      <c r="C10" s="277">
        <f>+C11+C12+C13+C14</f>
        <v>72050000</v>
      </c>
      <c r="D10" s="277">
        <f>+D11+D12+D13+D14</f>
        <v>7730000</v>
      </c>
      <c r="E10" s="277">
        <f t="shared" ref="E10:J10" si="1">+E11+E12+E13+E14</f>
        <v>16940900</v>
      </c>
      <c r="F10" s="277">
        <f t="shared" si="1"/>
        <v>15079100</v>
      </c>
      <c r="G10" s="277">
        <f t="shared" si="1"/>
        <v>18499950</v>
      </c>
      <c r="H10" s="277">
        <f t="shared" si="1"/>
        <v>13514200</v>
      </c>
      <c r="I10" s="277">
        <f t="shared" si="1"/>
        <v>285850</v>
      </c>
      <c r="J10" s="277">
        <f t="shared" si="1"/>
        <v>0</v>
      </c>
    </row>
    <row r="11" spans="1:10" ht="25.5" x14ac:dyDescent="0.2">
      <c r="A11" s="88" t="str">
        <f>+'6. PF M BID'!A14</f>
        <v>1.1.1</v>
      </c>
      <c r="B11" s="89" t="str">
        <f>+'6. PF M BID'!B14</f>
        <v>Contratación de Firma Constructora para el mejoramiento del tramo Ñumi-San Juan Nepomuceno (65,5 Km)</v>
      </c>
      <c r="C11" s="278">
        <f>+'3. PEP'!G28</f>
        <v>37550000</v>
      </c>
      <c r="D11" s="286">
        <f>SUM('6. PF M BID'!D14:O14)</f>
        <v>7510000</v>
      </c>
      <c r="E11" s="286">
        <f>SUM('6. PF M BID'!P14:AA14)</f>
        <v>15921200</v>
      </c>
      <c r="F11" s="279">
        <f>SUM('6. PF M BID'!AB14:AM14)</f>
        <v>14118800</v>
      </c>
      <c r="G11" s="279">
        <f>SUM('6. PF M BID'!AN14:AY14)</f>
        <v>0</v>
      </c>
      <c r="H11" s="279">
        <f>SUM('6. PF M BID'!AZ14:BK14)</f>
        <v>0</v>
      </c>
      <c r="I11" s="279">
        <f>SUM('6. PF M BID'!BL14:BW14)</f>
        <v>0</v>
      </c>
      <c r="J11" s="279">
        <f>SUM('6. PF M BID'!BX14:CI14)</f>
        <v>0</v>
      </c>
    </row>
    <row r="12" spans="1:10" ht="38.25" x14ac:dyDescent="0.2">
      <c r="A12" s="88" t="str">
        <f>+'6. PF M BID'!A15</f>
        <v>1.1.2</v>
      </c>
      <c r="B12" s="89" t="str">
        <f>+'6. PF M BID'!B15</f>
        <v>Contratación de Firma Constructora para el mejoramiento y rehabilitación  del tramo Empalme R6 - Empalme corredor de Exportación (52 Km)</v>
      </c>
      <c r="C12" s="278">
        <f>+'3. PEP'!G29</f>
        <v>30500000</v>
      </c>
      <c r="D12" s="286">
        <f>SUM('6. PF M BID'!D15:O15)</f>
        <v>0</v>
      </c>
      <c r="E12" s="286">
        <f>SUM('6. PF M BID'!P15:AA15)</f>
        <v>0</v>
      </c>
      <c r="F12" s="279">
        <f>SUM('6. PF M BID'!AB15:AM15)</f>
        <v>0</v>
      </c>
      <c r="G12" s="279">
        <f>SUM('6. PF M BID'!AN15:AY15)</f>
        <v>17568000</v>
      </c>
      <c r="H12" s="279">
        <f>SUM('6. PF M BID'!AZ15:BK15)</f>
        <v>12688000</v>
      </c>
      <c r="I12" s="279">
        <f>SUM('6. PF M BID'!BL15:BW15)</f>
        <v>244000</v>
      </c>
      <c r="J12" s="279">
        <f>SUM('6. PF M BID'!BX15:CI15)</f>
        <v>0</v>
      </c>
    </row>
    <row r="13" spans="1:10" ht="38.25" x14ac:dyDescent="0.2">
      <c r="A13" s="88" t="str">
        <f>+'6. PF M BID'!A16</f>
        <v>1.1.3</v>
      </c>
      <c r="B13" s="89" t="str">
        <f>+'6. PF M BID'!B16</f>
        <v>Contratación de Firma Consultora para Fiscalización del Mejoramiento del tramo Ñumi-San Juan Nepomuceno (65.5 Km)</v>
      </c>
      <c r="C13" s="278">
        <f>+'3. PEP'!G30</f>
        <v>2200000</v>
      </c>
      <c r="D13" s="286">
        <f>SUM('6. PF M BID'!D16:O16)</f>
        <v>220000</v>
      </c>
      <c r="E13" s="286">
        <f>SUM('6. PF M BID'!P16:AA16)</f>
        <v>1019700</v>
      </c>
      <c r="F13" s="279">
        <f>SUM('6. PF M BID'!AB16:AM16)</f>
        <v>960300</v>
      </c>
      <c r="G13" s="279">
        <f>SUM('6. PF M BID'!AN16:AY16)</f>
        <v>0</v>
      </c>
      <c r="H13" s="279">
        <f>SUM('6. PF M BID'!AZ16:BK16)</f>
        <v>0</v>
      </c>
      <c r="I13" s="279">
        <f>SUM('6. PF M BID'!BL16:BW16)</f>
        <v>0</v>
      </c>
      <c r="J13" s="279">
        <f>SUM('6. PF M BID'!BX16:CI16)</f>
        <v>0</v>
      </c>
    </row>
    <row r="14" spans="1:10" ht="38.25" x14ac:dyDescent="0.2">
      <c r="A14" s="88" t="str">
        <f>+'6. PF M BID'!A17</f>
        <v>1.1.4</v>
      </c>
      <c r="B14" s="89" t="str">
        <f>+'6. PF M BID'!B17</f>
        <v>Contratación de Firma Consultora para Fiscalización de obra de mejoramiento y rehabilitación del tramo Empalme R6 - Empalme Corredor de Exportación (52 Km)</v>
      </c>
      <c r="C14" s="278">
        <f>+'3. PEP'!G31</f>
        <v>1800000</v>
      </c>
      <c r="D14" s="286">
        <f>SUM('6. PF M BID'!D17:O17)</f>
        <v>0</v>
      </c>
      <c r="E14" s="286">
        <f>SUM('6. PF M BID'!P17:AA17)</f>
        <v>0</v>
      </c>
      <c r="F14" s="279">
        <f>SUM('6. PF M BID'!AB17:AM17)</f>
        <v>0</v>
      </c>
      <c r="G14" s="279">
        <f>SUM('6. PF M BID'!AN17:AY17)</f>
        <v>931950</v>
      </c>
      <c r="H14" s="279">
        <f>SUM('6. PF M BID'!AZ17:BK17)</f>
        <v>826200</v>
      </c>
      <c r="I14" s="279">
        <f>SUM('6. PF M BID'!BL17:BW17)</f>
        <v>41850</v>
      </c>
      <c r="J14" s="279">
        <f>SUM('6. PF M BID'!BX17:CI17)</f>
        <v>0</v>
      </c>
    </row>
    <row r="15" spans="1:10" x14ac:dyDescent="0.2">
      <c r="A15" s="97" t="str">
        <f>+'6. PF M BID'!A18</f>
        <v>1.2</v>
      </c>
      <c r="B15" s="84" t="str">
        <f>+'6. PF M BID'!B18</f>
        <v>Producto 2: 267 km de carretera conservados</v>
      </c>
      <c r="C15" s="278">
        <f>+C16+C17+C18+C19</f>
        <v>12950000</v>
      </c>
      <c r="D15" s="278">
        <f t="shared" ref="D15:J15" si="2">+D16+D17+D18+D19</f>
        <v>0</v>
      </c>
      <c r="E15" s="278">
        <f t="shared" si="2"/>
        <v>1994999.9999999998</v>
      </c>
      <c r="F15" s="278">
        <f t="shared" si="2"/>
        <v>886666.66666666674</v>
      </c>
      <c r="G15" s="278">
        <f t="shared" si="2"/>
        <v>3091666.666666667</v>
      </c>
      <c r="H15" s="278">
        <f t="shared" si="2"/>
        <v>2146666.666666667</v>
      </c>
      <c r="I15" s="278">
        <f t="shared" si="2"/>
        <v>2146666.666666667</v>
      </c>
      <c r="J15" s="278">
        <f t="shared" si="2"/>
        <v>2683333.3333333335</v>
      </c>
    </row>
    <row r="16" spans="1:10" ht="38.25" x14ac:dyDescent="0.2">
      <c r="A16" s="88" t="str">
        <f>+'6. PF M BID'!A19</f>
        <v>1.2.1</v>
      </c>
      <c r="B16" s="95" t="str">
        <f>+'6. PF M BID'!B19</f>
        <v>Contratación de Firma Constructora para Obra de Conservación del Tramo Ñumi - Empalme R6  (147 km). Crema 1.1.1</v>
      </c>
      <c r="C16" s="278">
        <f>+'3. PEP'!G33</f>
        <v>6000000</v>
      </c>
      <c r="D16" s="286">
        <f>SUM('6. PF M BID'!D19:O19)</f>
        <v>0</v>
      </c>
      <c r="E16" s="286">
        <f>SUM('6. PF M BID'!P19:AA19)</f>
        <v>0</v>
      </c>
      <c r="F16" s="279">
        <f>SUM('6. PF M BID'!AB19:AM19)</f>
        <v>0</v>
      </c>
      <c r="G16" s="279">
        <f>SUM('6. PF M BID'!AN19:AY19)</f>
        <v>2100000</v>
      </c>
      <c r="H16" s="279">
        <f>SUM('6. PF M BID'!AZ19:BK19)</f>
        <v>1200000</v>
      </c>
      <c r="I16" s="279">
        <f>SUM('6. PF M BID'!BL19:BW19)</f>
        <v>1200000</v>
      </c>
      <c r="J16" s="279">
        <f>SUM('6. PF M BID'!BX19:CI19)</f>
        <v>1500000</v>
      </c>
    </row>
    <row r="17" spans="1:10" ht="25.5" x14ac:dyDescent="0.2">
      <c r="A17" s="88" t="str">
        <f>+'6. PF M BID'!A20</f>
        <v>1.2.2</v>
      </c>
      <c r="B17" s="95" t="str">
        <f>+'6. PF M BID'!B20</f>
        <v>Contratación de Firma Constructora para Obra de Conservación Ruta 13: Caaguazu- Empalme Ruta 10 (120 km)</v>
      </c>
      <c r="C17" s="278">
        <f>+'3. PEP'!G34</f>
        <v>6250000</v>
      </c>
      <c r="D17" s="286">
        <f>SUM('6. PF M BID'!D20:O20)</f>
        <v>0</v>
      </c>
      <c r="E17" s="286">
        <f>SUM('6. PF M BID'!P20:AA20)</f>
        <v>1874999.9999999998</v>
      </c>
      <c r="F17" s="279">
        <f>SUM('6. PF M BID'!AB20:AM20)</f>
        <v>833333.33333333337</v>
      </c>
      <c r="G17" s="279">
        <f>SUM('6. PF M BID'!AN20:AY20)</f>
        <v>833333.33333333337</v>
      </c>
      <c r="H17" s="279">
        <f>SUM('6. PF M BID'!AZ20:BK20)</f>
        <v>833333.33333333337</v>
      </c>
      <c r="I17" s="279">
        <f>SUM('6. PF M BID'!BL20:BW20)</f>
        <v>833333.33333333337</v>
      </c>
      <c r="J17" s="279">
        <f>SUM('6. PF M BID'!BX20:CI20)</f>
        <v>1041666.6666666667</v>
      </c>
    </row>
    <row r="18" spans="1:10" ht="38.25" x14ac:dyDescent="0.2">
      <c r="A18" s="88" t="str">
        <f>+'6. PF M BID'!A21</f>
        <v>1.2.3</v>
      </c>
      <c r="B18" s="95" t="str">
        <f>+'6. PF M BID'!B21</f>
        <v>Contratación de Firma Consultora para Fiscalización de Obra de Conservación del Tramo Ñumi- Empalme R6 (147 km)</v>
      </c>
      <c r="C18" s="278">
        <f>+'3. PEP'!G35</f>
        <v>300000</v>
      </c>
      <c r="D18" s="286">
        <f>SUM('6. PF M BID'!D21:O21)</f>
        <v>0</v>
      </c>
      <c r="E18" s="286">
        <f>SUM('6. PF M BID'!P21:AA21)</f>
        <v>0</v>
      </c>
      <c r="F18" s="279">
        <f>SUM('6. PF M BID'!AB21:AM21)</f>
        <v>0</v>
      </c>
      <c r="G18" s="279">
        <f>SUM('6. PF M BID'!AN21:AY21)</f>
        <v>105000</v>
      </c>
      <c r="H18" s="279">
        <f>SUM('6. PF M BID'!AZ21:BK21)</f>
        <v>60000</v>
      </c>
      <c r="I18" s="279">
        <f>SUM('6. PF M BID'!BL21:BW21)</f>
        <v>60000</v>
      </c>
      <c r="J18" s="279">
        <f>SUM('6. PF M BID'!BX21:CI21)</f>
        <v>75000</v>
      </c>
    </row>
    <row r="19" spans="1:10" ht="38.25" x14ac:dyDescent="0.2">
      <c r="A19" s="88" t="str">
        <f>+'6. PF M BID'!A22</f>
        <v>1.2.4</v>
      </c>
      <c r="B19" s="95" t="str">
        <f>+'6. PF M BID'!B22</f>
        <v>Contratación de Firma Consultora para Fiscalización de Obra de Conservación Ruta 13: Caaguazu - Empalme Ruta 10 (120 km)</v>
      </c>
      <c r="C19" s="278">
        <f>+'3. PEP'!G36</f>
        <v>400000</v>
      </c>
      <c r="D19" s="286">
        <f>SUM('6. PF M BID'!D22:O22)</f>
        <v>0</v>
      </c>
      <c r="E19" s="286">
        <f>SUM('6. PF M BID'!P22:AA22)</f>
        <v>119999.99999999999</v>
      </c>
      <c r="F19" s="279">
        <f>SUM('6. PF M BID'!AB22:AM22)</f>
        <v>53333.333333333336</v>
      </c>
      <c r="G19" s="279">
        <f>SUM('6. PF M BID'!AN22:AY22)</f>
        <v>53333.333333333336</v>
      </c>
      <c r="H19" s="279">
        <f>SUM('6. PF M BID'!AZ22:BK22)</f>
        <v>53333.333333333336</v>
      </c>
      <c r="I19" s="279">
        <f>SUM('6. PF M BID'!BL22:BW22)</f>
        <v>53333.333333333336</v>
      </c>
      <c r="J19" s="279">
        <f>SUM('6. PF M BID'!BX22:CI22)</f>
        <v>66666.666666666672</v>
      </c>
    </row>
    <row r="20" spans="1:10" s="280" customFormat="1" ht="26.25" customHeight="1" x14ac:dyDescent="0.2">
      <c r="A20" s="287">
        <v>2</v>
      </c>
      <c r="B20" s="275" t="str">
        <f>+'6. PF M BID'!B23</f>
        <v>Otros Costos</v>
      </c>
      <c r="C20" s="276">
        <f t="shared" ref="C20:J20" si="3">+C21+C23+C26</f>
        <v>5000000</v>
      </c>
      <c r="D20" s="276">
        <f t="shared" si="3"/>
        <v>471428.57142857142</v>
      </c>
      <c r="E20" s="276">
        <f t="shared" si="3"/>
        <v>837857.14285714284</v>
      </c>
      <c r="F20" s="276">
        <f t="shared" si="3"/>
        <v>852857.14285714284</v>
      </c>
      <c r="G20" s="276">
        <f t="shared" si="3"/>
        <v>852857.14285714284</v>
      </c>
      <c r="H20" s="276">
        <f t="shared" si="3"/>
        <v>852857.14285714284</v>
      </c>
      <c r="I20" s="276">
        <f t="shared" si="3"/>
        <v>517857.14285714284</v>
      </c>
      <c r="J20" s="276">
        <f t="shared" si="3"/>
        <v>614285.71428571432</v>
      </c>
    </row>
    <row r="21" spans="1:10" s="280" customFormat="1" x14ac:dyDescent="0.2">
      <c r="A21" s="97">
        <f>+'6. PF M BID'!A24</f>
        <v>2.1</v>
      </c>
      <c r="B21" s="84" t="str">
        <f>+'6. PF M BID'!B24</f>
        <v>Administración del Programa</v>
      </c>
      <c r="C21" s="278">
        <f>+C22</f>
        <v>3300000</v>
      </c>
      <c r="D21" s="278">
        <f t="shared" ref="D21:J21" si="4">+D22</f>
        <v>471428.57142857142</v>
      </c>
      <c r="E21" s="278">
        <f t="shared" si="4"/>
        <v>471428.57142857142</v>
      </c>
      <c r="F21" s="278">
        <f t="shared" si="4"/>
        <v>471428.57142857142</v>
      </c>
      <c r="G21" s="278">
        <f t="shared" si="4"/>
        <v>471428.57142857142</v>
      </c>
      <c r="H21" s="278">
        <f t="shared" si="4"/>
        <v>471428.57142857142</v>
      </c>
      <c r="I21" s="278">
        <f t="shared" si="4"/>
        <v>471428.57142857142</v>
      </c>
      <c r="J21" s="278">
        <f t="shared" si="4"/>
        <v>471428.57142857142</v>
      </c>
    </row>
    <row r="22" spans="1:10" s="280" customFormat="1" ht="25.5" x14ac:dyDescent="0.2">
      <c r="A22" s="103" t="str">
        <f>+'6. PF M BID'!A25</f>
        <v>2.1.1</v>
      </c>
      <c r="B22" s="104" t="str">
        <f>+'6. PF M BID'!B25</f>
        <v xml:space="preserve">Contratación de la ECATEF para apoyo en la ejecución del Programa </v>
      </c>
      <c r="C22" s="278">
        <f>+'3. PEP'!G39</f>
        <v>3300000</v>
      </c>
      <c r="D22" s="286">
        <f>SUM('6. PF M BID'!D25:O25)</f>
        <v>471428.57142857142</v>
      </c>
      <c r="E22" s="286">
        <f>SUM('6. PF M BID'!P25:AA25)</f>
        <v>471428.57142857142</v>
      </c>
      <c r="F22" s="279">
        <f>SUM('6. PF M BID'!AB25:AM25)</f>
        <v>471428.57142857142</v>
      </c>
      <c r="G22" s="279">
        <f>SUM('6. PF M BID'!AN25:AY25)</f>
        <v>471428.57142857142</v>
      </c>
      <c r="H22" s="279">
        <f>SUM('6. PF M BID'!AZ25:BK25)</f>
        <v>471428.57142857142</v>
      </c>
      <c r="I22" s="279">
        <f>SUM('6. PF M BID'!BL25:BW25)</f>
        <v>471428.57142857142</v>
      </c>
      <c r="J22" s="279">
        <f>SUM('6. PF M BID'!BX25:CI25)</f>
        <v>471428.57142857142</v>
      </c>
    </row>
    <row r="23" spans="1:10" s="280" customFormat="1" x14ac:dyDescent="0.2">
      <c r="A23" s="97">
        <f>+'6. PF M BID'!A26</f>
        <v>2.2000000000000002</v>
      </c>
      <c r="B23" s="84" t="str">
        <f>+'6. PF M BID'!B26</f>
        <v>Auditoria, Monitoreo y Evaluación desarrollados</v>
      </c>
      <c r="C23" s="278">
        <f>+C24+C25</f>
        <v>250000</v>
      </c>
      <c r="D23" s="278">
        <f>+D24+D25</f>
        <v>0</v>
      </c>
      <c r="E23" s="278">
        <f t="shared" ref="E23:J23" si="5">+E24+E25</f>
        <v>21428.571428571428</v>
      </c>
      <c r="F23" s="278">
        <f t="shared" si="5"/>
        <v>21428.571428571428</v>
      </c>
      <c r="G23" s="278">
        <f t="shared" si="5"/>
        <v>21428.571428571428</v>
      </c>
      <c r="H23" s="278">
        <f t="shared" si="5"/>
        <v>21428.571428571428</v>
      </c>
      <c r="I23" s="278">
        <f t="shared" si="5"/>
        <v>21428.571428571428</v>
      </c>
      <c r="J23" s="278">
        <f t="shared" si="5"/>
        <v>142857.14285714284</v>
      </c>
    </row>
    <row r="24" spans="1:10" s="280" customFormat="1" ht="25.5" x14ac:dyDescent="0.2">
      <c r="A24" s="103" t="str">
        <f>+'6. PF M BID'!A27</f>
        <v>2.2.1</v>
      </c>
      <c r="B24" s="104" t="str">
        <f>+'6. PF M BID'!B27</f>
        <v>Contratación de Firma Consultora para la Auditoria Externa del Programa PR-L1105</v>
      </c>
      <c r="C24" s="278">
        <f>+'3. PEP'!G41</f>
        <v>150000</v>
      </c>
      <c r="D24" s="286">
        <f>SUM('6. PF M BID'!D27:O27)</f>
        <v>0</v>
      </c>
      <c r="E24" s="286">
        <f>SUM('6. PF M BID'!P27:AA27)</f>
        <v>21428.571428571428</v>
      </c>
      <c r="F24" s="279">
        <f>SUM('6. PF M BID'!AB27:AM27)</f>
        <v>21428.571428571428</v>
      </c>
      <c r="G24" s="279">
        <f>SUM('6. PF M BID'!AN27:AY27)</f>
        <v>21428.571428571428</v>
      </c>
      <c r="H24" s="279">
        <f>SUM('6. PF M BID'!AZ27:BK27)</f>
        <v>21428.571428571428</v>
      </c>
      <c r="I24" s="279">
        <f>SUM('6. PF M BID'!BL27:BW27)</f>
        <v>21428.571428571428</v>
      </c>
      <c r="J24" s="279">
        <f>SUM('6. PF M BID'!BX27:CI27)</f>
        <v>42857.142857142855</v>
      </c>
    </row>
    <row r="25" spans="1:10" s="280" customFormat="1" ht="25.5" x14ac:dyDescent="0.2">
      <c r="A25" s="103" t="str">
        <f>+'6. PF M BID'!A28</f>
        <v>2.2.2</v>
      </c>
      <c r="B25" s="104" t="str">
        <f>+'6. PF M BID'!B28</f>
        <v>Contratación de Firma Consultora para la Evaluación Final del Programa</v>
      </c>
      <c r="C25" s="278">
        <f>+'3. PEP'!G42</f>
        <v>100000</v>
      </c>
      <c r="D25" s="286">
        <f>SUM('6. PF M BID'!D28:O28)</f>
        <v>0</v>
      </c>
      <c r="E25" s="286">
        <f>SUM('6. PF M BID'!P28:AA28)</f>
        <v>0</v>
      </c>
      <c r="F25" s="279">
        <f>SUM('6. PF M BID'!AB28:AM28)</f>
        <v>0</v>
      </c>
      <c r="G25" s="279">
        <f>SUM('6. PF M BID'!AN28:AY28)</f>
        <v>0</v>
      </c>
      <c r="H25" s="279">
        <f>SUM('6. PF M BID'!AZ28:BK28)</f>
        <v>0</v>
      </c>
      <c r="I25" s="279">
        <f>SUM('6. PF M BID'!BL28:BW28)</f>
        <v>0</v>
      </c>
      <c r="J25" s="279">
        <f>SUM('6. PF M BID'!BX28:CI28)</f>
        <v>100000</v>
      </c>
    </row>
    <row r="26" spans="1:10" s="280" customFormat="1" x14ac:dyDescent="0.2">
      <c r="A26" s="97">
        <f>+'6. PF M BID'!A29</f>
        <v>2.2999999999999998</v>
      </c>
      <c r="B26" s="84" t="str">
        <f>+'6. PF M BID'!B29</f>
        <v>Gestión Socio Ambiental</v>
      </c>
      <c r="C26" s="278">
        <f>+C27+C28+C29</f>
        <v>1450000</v>
      </c>
      <c r="D26" s="278">
        <f t="shared" ref="D26:J26" si="6">+D27+D28+D29</f>
        <v>0</v>
      </c>
      <c r="E26" s="278">
        <f t="shared" si="6"/>
        <v>345000</v>
      </c>
      <c r="F26" s="278">
        <f t="shared" si="6"/>
        <v>360000</v>
      </c>
      <c r="G26" s="278">
        <f t="shared" si="6"/>
        <v>360000</v>
      </c>
      <c r="H26" s="278">
        <f t="shared" si="6"/>
        <v>360000</v>
      </c>
      <c r="I26" s="278">
        <f t="shared" si="6"/>
        <v>25000</v>
      </c>
      <c r="J26" s="278">
        <f t="shared" si="6"/>
        <v>0</v>
      </c>
    </row>
    <row r="27" spans="1:10" s="280" customFormat="1" x14ac:dyDescent="0.2">
      <c r="A27" s="103" t="str">
        <f>+'6. PF M BID'!A30</f>
        <v>2.2.1</v>
      </c>
      <c r="B27" s="104" t="str">
        <f>+'6. PF M BID'!B30</f>
        <v>Monitoreo y Evaluación Socio Ambiental</v>
      </c>
      <c r="C27" s="278">
        <f>+'3. PEP'!G44</f>
        <v>250000</v>
      </c>
      <c r="D27" s="286">
        <f>SUM('6. PF M BID'!D30:O30)</f>
        <v>0</v>
      </c>
      <c r="E27" s="286">
        <f>SUM('6. PF M BID'!P30:AA30)</f>
        <v>45000</v>
      </c>
      <c r="F27" s="279">
        <f>SUM('6. PF M BID'!AB30:AM30)</f>
        <v>60000</v>
      </c>
      <c r="G27" s="279">
        <f>SUM('6. PF M BID'!AN30:AY30)</f>
        <v>60000</v>
      </c>
      <c r="H27" s="279">
        <f>SUM('6. PF M BID'!AZ30:BK30)</f>
        <v>60000</v>
      </c>
      <c r="I27" s="279">
        <f>SUM('6. PF M BID'!BL30:BW30)</f>
        <v>25000</v>
      </c>
      <c r="J27" s="279">
        <f>SUM('6. PF M BID'!BX30:CI30)</f>
        <v>0</v>
      </c>
    </row>
    <row r="28" spans="1:10" s="280" customFormat="1" x14ac:dyDescent="0.2">
      <c r="A28" s="103" t="str">
        <f>+'6. PF M BID'!A31</f>
        <v>2.2.2</v>
      </c>
      <c r="B28" s="104" t="str">
        <f>+'6. PF M BID'!B31</f>
        <v>Plan de Gestión Socio Ambiental</v>
      </c>
      <c r="C28" s="278">
        <f>+'3. PEP'!G45</f>
        <v>500000</v>
      </c>
      <c r="D28" s="286">
        <f>SUM('6. PF M BID'!D31:O31)</f>
        <v>0</v>
      </c>
      <c r="E28" s="286">
        <f>SUM('6. PF M BID'!P31:AA31)</f>
        <v>125000.00000000001</v>
      </c>
      <c r="F28" s="279">
        <f>SUM('6. PF M BID'!AB31:AM31)</f>
        <v>125000.00000000001</v>
      </c>
      <c r="G28" s="279">
        <f>SUM('6. PF M BID'!AN31:AY31)</f>
        <v>125000.00000000001</v>
      </c>
      <c r="H28" s="279">
        <f>SUM('6. PF M BID'!AZ31:BK31)</f>
        <v>125000.00000000001</v>
      </c>
      <c r="I28" s="279">
        <f>SUM('6. PF M BID'!BL31:BW31)</f>
        <v>0</v>
      </c>
      <c r="J28" s="279">
        <f>SUM('6. PF M BID'!BX31:CI31)</f>
        <v>0</v>
      </c>
    </row>
    <row r="29" spans="1:10" s="280" customFormat="1" x14ac:dyDescent="0.2">
      <c r="A29" s="103" t="str">
        <f>+'6. PF M BID'!A32</f>
        <v>2.2.3</v>
      </c>
      <c r="B29" s="104" t="str">
        <f>+'6. PF M BID'!B32</f>
        <v>Pagos por Servicios Ambientales</v>
      </c>
      <c r="C29" s="278">
        <f>+'3. PEP'!G46</f>
        <v>700000</v>
      </c>
      <c r="D29" s="286">
        <f>SUM('6. PF M BID'!D32:O32)</f>
        <v>0</v>
      </c>
      <c r="E29" s="286">
        <f>SUM('6. PF M BID'!P32:AA32)</f>
        <v>175000.00000000003</v>
      </c>
      <c r="F29" s="279">
        <f>SUM('6. PF M BID'!AB32:AM32)</f>
        <v>175000.00000000003</v>
      </c>
      <c r="G29" s="279">
        <f>SUM('6. PF M BID'!AN32:AY32)</f>
        <v>175000.00000000003</v>
      </c>
      <c r="H29" s="279">
        <f>SUM('6. PF M BID'!AZ32:BK32)</f>
        <v>175000.00000000003</v>
      </c>
      <c r="I29" s="279">
        <f>SUM('6. PF M BID'!BL32:BW32)</f>
        <v>0</v>
      </c>
      <c r="J29" s="279">
        <f>SUM('6. PF M BID'!BX32:CI32)</f>
        <v>0</v>
      </c>
    </row>
    <row r="30" spans="1:10" s="167" customFormat="1" x14ac:dyDescent="0.2">
      <c r="A30" s="281"/>
      <c r="B30" s="282" t="s">
        <v>247</v>
      </c>
      <c r="C30" s="283">
        <f t="shared" ref="C30:J30" si="7">+C20+C9</f>
        <v>90000000</v>
      </c>
      <c r="D30" s="283">
        <f t="shared" si="7"/>
        <v>8201428.5714285718</v>
      </c>
      <c r="E30" s="283">
        <f t="shared" si="7"/>
        <v>19773757.142857142</v>
      </c>
      <c r="F30" s="283">
        <f t="shared" si="7"/>
        <v>16818623.80952381</v>
      </c>
      <c r="G30" s="283">
        <f t="shared" si="7"/>
        <v>22444473.80952381</v>
      </c>
      <c r="H30" s="283">
        <f t="shared" si="7"/>
        <v>16513723.809523812</v>
      </c>
      <c r="I30" s="283">
        <f t="shared" si="7"/>
        <v>2950373.8095238097</v>
      </c>
      <c r="J30" s="283">
        <f t="shared" si="7"/>
        <v>3297619.0476190476</v>
      </c>
    </row>
    <row r="31" spans="1:10" s="167" customFormat="1" x14ac:dyDescent="0.2">
      <c r="A31" s="281"/>
      <c r="B31" s="282" t="s">
        <v>248</v>
      </c>
      <c r="C31" s="284"/>
      <c r="D31" s="284">
        <f>D30</f>
        <v>8201428.5714285718</v>
      </c>
      <c r="E31" s="284">
        <f>D31+E30</f>
        <v>27975185.714285713</v>
      </c>
      <c r="F31" s="284">
        <f t="shared" ref="F31:H31" si="8">E31+F30</f>
        <v>44793809.523809522</v>
      </c>
      <c r="G31" s="284">
        <f t="shared" si="8"/>
        <v>67238283.333333328</v>
      </c>
      <c r="H31" s="284">
        <f t="shared" si="8"/>
        <v>83752007.142857134</v>
      </c>
      <c r="I31" s="284">
        <f t="shared" ref="I31" si="9">H31+I30</f>
        <v>86702380.95238094</v>
      </c>
      <c r="J31" s="284">
        <f t="shared" ref="J31" si="10">I31+J30</f>
        <v>89999999.999999985</v>
      </c>
    </row>
    <row r="32" spans="1:10" x14ac:dyDescent="0.2">
      <c r="D32" s="285">
        <f>D30/$C$30</f>
        <v>9.1126984126984126E-2</v>
      </c>
      <c r="E32" s="285">
        <f>E30/$C$30</f>
        <v>0.21970841269841268</v>
      </c>
      <c r="F32" s="285">
        <f>F30/$C$30</f>
        <v>0.18687359788359789</v>
      </c>
      <c r="G32" s="285">
        <f>G30/$C$30</f>
        <v>0.24938304232804234</v>
      </c>
      <c r="H32" s="285">
        <f>H30/$C$30</f>
        <v>0.18348582010582012</v>
      </c>
      <c r="I32" s="285">
        <f t="shared" ref="I32:J32" si="11">I30/$C$30</f>
        <v>3.2781931216931216E-2</v>
      </c>
      <c r="J32" s="285">
        <f t="shared" si="11"/>
        <v>3.664021164021164E-2</v>
      </c>
    </row>
  </sheetData>
  <mergeCells count="1">
    <mergeCell ref="A8:B8"/>
  </mergeCells>
  <printOptions horizontalCentered="1"/>
  <pageMargins left="0.70866141732283472" right="0.70866141732283472" top="0.51181102362204722" bottom="0.27559055118110237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Z31"/>
  <sheetViews>
    <sheetView showGridLines="0" zoomScale="70" zoomScaleNormal="70" workbookViewId="0">
      <selection activeCell="A29" sqref="A29:XFD29"/>
    </sheetView>
  </sheetViews>
  <sheetFormatPr defaultColWidth="11.42578125" defaultRowHeight="12.75" x14ac:dyDescent="0.2"/>
  <cols>
    <col min="1" max="1" width="11.28515625" style="467" customWidth="1"/>
    <col min="2" max="2" width="67.140625" style="441" customWidth="1"/>
    <col min="3" max="4" width="10.42578125" style="442" hidden="1" customWidth="1"/>
    <col min="5" max="5" width="14.28515625" style="443" hidden="1" customWidth="1"/>
    <col min="6" max="6" width="15" style="442" hidden="1" customWidth="1"/>
    <col min="7" max="7" width="9.140625" style="444" hidden="1" customWidth="1"/>
    <col min="8" max="8" width="9.140625" style="445" hidden="1" customWidth="1"/>
    <col min="9" max="9" width="38.140625" style="446" customWidth="1"/>
    <col min="10" max="10" width="16.85546875" style="447" customWidth="1"/>
    <col min="11" max="11" width="19" style="448" customWidth="1"/>
    <col min="12" max="12" width="13.42578125" style="441" bestFit="1" customWidth="1"/>
    <col min="13" max="13" width="8.28515625" style="441" bestFit="1" customWidth="1"/>
    <col min="14" max="14" width="12.140625" style="441" customWidth="1"/>
    <col min="15" max="23" width="3.42578125" style="441" customWidth="1"/>
    <col min="24" max="24" width="4.28515625" style="441" bestFit="1" customWidth="1"/>
    <col min="25" max="25" width="3.42578125" style="441" customWidth="1"/>
    <col min="26" max="26" width="4.28515625" style="441" bestFit="1" customWidth="1"/>
    <col min="27" max="71" width="2.140625" style="441" customWidth="1"/>
    <col min="72" max="206" width="11.42578125" style="441"/>
    <col min="207" max="207" width="44.42578125" style="441" customWidth="1"/>
    <col min="208" max="208" width="13" style="441" customWidth="1"/>
    <col min="209" max="214" width="2" style="441" customWidth="1"/>
    <col min="215" max="215" width="2.42578125" style="441" customWidth="1"/>
    <col min="216" max="216" width="3" style="441" customWidth="1"/>
    <col min="217" max="219" width="2" style="441" customWidth="1"/>
    <col min="220" max="220" width="2.85546875" style="441" customWidth="1"/>
    <col min="221" max="221" width="3" style="441" customWidth="1"/>
    <col min="222" max="222" width="2.7109375" style="441" customWidth="1"/>
    <col min="223" max="223" width="2.42578125" style="441" customWidth="1"/>
    <col min="224" max="224" width="3.28515625" style="441" customWidth="1"/>
    <col min="225" max="225" width="3.5703125" style="441" customWidth="1"/>
    <col min="226" max="226" width="4" style="441" customWidth="1"/>
    <col min="227" max="227" width="3.42578125" style="441" customWidth="1"/>
    <col min="228" max="228" width="3" style="441" customWidth="1"/>
    <col min="229" max="462" width="11.42578125" style="441"/>
    <col min="463" max="463" width="44.42578125" style="441" customWidth="1"/>
    <col min="464" max="464" width="13" style="441" customWidth="1"/>
    <col min="465" max="470" width="2" style="441" customWidth="1"/>
    <col min="471" max="471" width="2.42578125" style="441" customWidth="1"/>
    <col min="472" max="472" width="3" style="441" customWidth="1"/>
    <col min="473" max="475" width="2" style="441" customWidth="1"/>
    <col min="476" max="476" width="2.85546875" style="441" customWidth="1"/>
    <col min="477" max="477" width="3" style="441" customWidth="1"/>
    <col min="478" max="478" width="2.7109375" style="441" customWidth="1"/>
    <col min="479" max="479" width="2.42578125" style="441" customWidth="1"/>
    <col min="480" max="480" width="3.28515625" style="441" customWidth="1"/>
    <col min="481" max="481" width="3.5703125" style="441" customWidth="1"/>
    <col min="482" max="482" width="4" style="441" customWidth="1"/>
    <col min="483" max="483" width="3.42578125" style="441" customWidth="1"/>
    <col min="484" max="484" width="3" style="441" customWidth="1"/>
    <col min="485" max="718" width="11.42578125" style="441"/>
    <col min="719" max="719" width="44.42578125" style="441" customWidth="1"/>
    <col min="720" max="720" width="13" style="441" customWidth="1"/>
    <col min="721" max="726" width="2" style="441" customWidth="1"/>
    <col min="727" max="727" width="2.42578125" style="441" customWidth="1"/>
    <col min="728" max="728" width="3" style="441" customWidth="1"/>
    <col min="729" max="731" width="2" style="441" customWidth="1"/>
    <col min="732" max="732" width="2.85546875" style="441" customWidth="1"/>
    <col min="733" max="733" width="3" style="441" customWidth="1"/>
    <col min="734" max="734" width="2.7109375" style="441" customWidth="1"/>
    <col min="735" max="735" width="2.42578125" style="441" customWidth="1"/>
    <col min="736" max="736" width="3.28515625" style="441" customWidth="1"/>
    <col min="737" max="737" width="3.5703125" style="441" customWidth="1"/>
    <col min="738" max="738" width="4" style="441" customWidth="1"/>
    <col min="739" max="739" width="3.42578125" style="441" customWidth="1"/>
    <col min="740" max="740" width="3" style="441" customWidth="1"/>
    <col min="741" max="974" width="11.42578125" style="441"/>
    <col min="975" max="975" width="44.42578125" style="441" customWidth="1"/>
    <col min="976" max="976" width="13" style="441" customWidth="1"/>
    <col min="977" max="982" width="2" style="441" customWidth="1"/>
    <col min="983" max="983" width="2.42578125" style="441" customWidth="1"/>
    <col min="984" max="984" width="3" style="441" customWidth="1"/>
    <col min="985" max="987" width="2" style="441" customWidth="1"/>
    <col min="988" max="988" width="2.85546875" style="441" customWidth="1"/>
    <col min="989" max="989" width="3" style="441" customWidth="1"/>
    <col min="990" max="990" width="2.7109375" style="441" customWidth="1"/>
    <col min="991" max="991" width="2.42578125" style="441" customWidth="1"/>
    <col min="992" max="992" width="3.28515625" style="441" customWidth="1"/>
    <col min="993" max="993" width="3.5703125" style="441" customWidth="1"/>
    <col min="994" max="994" width="4" style="441" customWidth="1"/>
    <col min="995" max="995" width="3.42578125" style="441" customWidth="1"/>
    <col min="996" max="996" width="3" style="441" customWidth="1"/>
    <col min="997" max="1230" width="11.42578125" style="441"/>
    <col min="1231" max="1231" width="44.42578125" style="441" customWidth="1"/>
    <col min="1232" max="1232" width="13" style="441" customWidth="1"/>
    <col min="1233" max="1238" width="2" style="441" customWidth="1"/>
    <col min="1239" max="1239" width="2.42578125" style="441" customWidth="1"/>
    <col min="1240" max="1240" width="3" style="441" customWidth="1"/>
    <col min="1241" max="1243" width="2" style="441" customWidth="1"/>
    <col min="1244" max="1244" width="2.85546875" style="441" customWidth="1"/>
    <col min="1245" max="1245" width="3" style="441" customWidth="1"/>
    <col min="1246" max="1246" width="2.7109375" style="441" customWidth="1"/>
    <col min="1247" max="1247" width="2.42578125" style="441" customWidth="1"/>
    <col min="1248" max="1248" width="3.28515625" style="441" customWidth="1"/>
    <col min="1249" max="1249" width="3.5703125" style="441" customWidth="1"/>
    <col min="1250" max="1250" width="4" style="441" customWidth="1"/>
    <col min="1251" max="1251" width="3.42578125" style="441" customWidth="1"/>
    <col min="1252" max="1252" width="3" style="441" customWidth="1"/>
    <col min="1253" max="1486" width="11.42578125" style="441"/>
    <col min="1487" max="1487" width="44.42578125" style="441" customWidth="1"/>
    <col min="1488" max="1488" width="13" style="441" customWidth="1"/>
    <col min="1489" max="1494" width="2" style="441" customWidth="1"/>
    <col min="1495" max="1495" width="2.42578125" style="441" customWidth="1"/>
    <col min="1496" max="1496" width="3" style="441" customWidth="1"/>
    <col min="1497" max="1499" width="2" style="441" customWidth="1"/>
    <col min="1500" max="1500" width="2.85546875" style="441" customWidth="1"/>
    <col min="1501" max="1501" width="3" style="441" customWidth="1"/>
    <col min="1502" max="1502" width="2.7109375" style="441" customWidth="1"/>
    <col min="1503" max="1503" width="2.42578125" style="441" customWidth="1"/>
    <col min="1504" max="1504" width="3.28515625" style="441" customWidth="1"/>
    <col min="1505" max="1505" width="3.5703125" style="441" customWidth="1"/>
    <col min="1506" max="1506" width="4" style="441" customWidth="1"/>
    <col min="1507" max="1507" width="3.42578125" style="441" customWidth="1"/>
    <col min="1508" max="1508" width="3" style="441" customWidth="1"/>
    <col min="1509" max="1742" width="11.42578125" style="441"/>
    <col min="1743" max="1743" width="44.42578125" style="441" customWidth="1"/>
    <col min="1744" max="1744" width="13" style="441" customWidth="1"/>
    <col min="1745" max="1750" width="2" style="441" customWidth="1"/>
    <col min="1751" max="1751" width="2.42578125" style="441" customWidth="1"/>
    <col min="1752" max="1752" width="3" style="441" customWidth="1"/>
    <col min="1753" max="1755" width="2" style="441" customWidth="1"/>
    <col min="1756" max="1756" width="2.85546875" style="441" customWidth="1"/>
    <col min="1757" max="1757" width="3" style="441" customWidth="1"/>
    <col min="1758" max="1758" width="2.7109375" style="441" customWidth="1"/>
    <col min="1759" max="1759" width="2.42578125" style="441" customWidth="1"/>
    <col min="1760" max="1760" width="3.28515625" style="441" customWidth="1"/>
    <col min="1761" max="1761" width="3.5703125" style="441" customWidth="1"/>
    <col min="1762" max="1762" width="4" style="441" customWidth="1"/>
    <col min="1763" max="1763" width="3.42578125" style="441" customWidth="1"/>
    <col min="1764" max="1764" width="3" style="441" customWidth="1"/>
    <col min="1765" max="1998" width="11.42578125" style="441"/>
    <col min="1999" max="1999" width="44.42578125" style="441" customWidth="1"/>
    <col min="2000" max="2000" width="13" style="441" customWidth="1"/>
    <col min="2001" max="2006" width="2" style="441" customWidth="1"/>
    <col min="2007" max="2007" width="2.42578125" style="441" customWidth="1"/>
    <col min="2008" max="2008" width="3" style="441" customWidth="1"/>
    <col min="2009" max="2011" width="2" style="441" customWidth="1"/>
    <col min="2012" max="2012" width="2.85546875" style="441" customWidth="1"/>
    <col min="2013" max="2013" width="3" style="441" customWidth="1"/>
    <col min="2014" max="2014" width="2.7109375" style="441" customWidth="1"/>
    <col min="2015" max="2015" width="2.42578125" style="441" customWidth="1"/>
    <col min="2016" max="2016" width="3.28515625" style="441" customWidth="1"/>
    <col min="2017" max="2017" width="3.5703125" style="441" customWidth="1"/>
    <col min="2018" max="2018" width="4" style="441" customWidth="1"/>
    <col min="2019" max="2019" width="3.42578125" style="441" customWidth="1"/>
    <col min="2020" max="2020" width="3" style="441" customWidth="1"/>
    <col min="2021" max="2254" width="11.42578125" style="441"/>
    <col min="2255" max="2255" width="44.42578125" style="441" customWidth="1"/>
    <col min="2256" max="2256" width="13" style="441" customWidth="1"/>
    <col min="2257" max="2262" width="2" style="441" customWidth="1"/>
    <col min="2263" max="2263" width="2.42578125" style="441" customWidth="1"/>
    <col min="2264" max="2264" width="3" style="441" customWidth="1"/>
    <col min="2265" max="2267" width="2" style="441" customWidth="1"/>
    <col min="2268" max="2268" width="2.85546875" style="441" customWidth="1"/>
    <col min="2269" max="2269" width="3" style="441" customWidth="1"/>
    <col min="2270" max="2270" width="2.7109375" style="441" customWidth="1"/>
    <col min="2271" max="2271" width="2.42578125" style="441" customWidth="1"/>
    <col min="2272" max="2272" width="3.28515625" style="441" customWidth="1"/>
    <col min="2273" max="2273" width="3.5703125" style="441" customWidth="1"/>
    <col min="2274" max="2274" width="4" style="441" customWidth="1"/>
    <col min="2275" max="2275" width="3.42578125" style="441" customWidth="1"/>
    <col min="2276" max="2276" width="3" style="441" customWidth="1"/>
    <col min="2277" max="2510" width="11.42578125" style="441"/>
    <col min="2511" max="2511" width="44.42578125" style="441" customWidth="1"/>
    <col min="2512" max="2512" width="13" style="441" customWidth="1"/>
    <col min="2513" max="2518" width="2" style="441" customWidth="1"/>
    <col min="2519" max="2519" width="2.42578125" style="441" customWidth="1"/>
    <col min="2520" max="2520" width="3" style="441" customWidth="1"/>
    <col min="2521" max="2523" width="2" style="441" customWidth="1"/>
    <col min="2524" max="2524" width="2.85546875" style="441" customWidth="1"/>
    <col min="2525" max="2525" width="3" style="441" customWidth="1"/>
    <col min="2526" max="2526" width="2.7109375" style="441" customWidth="1"/>
    <col min="2527" max="2527" width="2.42578125" style="441" customWidth="1"/>
    <col min="2528" max="2528" width="3.28515625" style="441" customWidth="1"/>
    <col min="2529" max="2529" width="3.5703125" style="441" customWidth="1"/>
    <col min="2530" max="2530" width="4" style="441" customWidth="1"/>
    <col min="2531" max="2531" width="3.42578125" style="441" customWidth="1"/>
    <col min="2532" max="2532" width="3" style="441" customWidth="1"/>
    <col min="2533" max="2766" width="11.42578125" style="441"/>
    <col min="2767" max="2767" width="44.42578125" style="441" customWidth="1"/>
    <col min="2768" max="2768" width="13" style="441" customWidth="1"/>
    <col min="2769" max="2774" width="2" style="441" customWidth="1"/>
    <col min="2775" max="2775" width="2.42578125" style="441" customWidth="1"/>
    <col min="2776" max="2776" width="3" style="441" customWidth="1"/>
    <col min="2777" max="2779" width="2" style="441" customWidth="1"/>
    <col min="2780" max="2780" width="2.85546875" style="441" customWidth="1"/>
    <col min="2781" max="2781" width="3" style="441" customWidth="1"/>
    <col min="2782" max="2782" width="2.7109375" style="441" customWidth="1"/>
    <col min="2783" max="2783" width="2.42578125" style="441" customWidth="1"/>
    <col min="2784" max="2784" width="3.28515625" style="441" customWidth="1"/>
    <col min="2785" max="2785" width="3.5703125" style="441" customWidth="1"/>
    <col min="2786" max="2786" width="4" style="441" customWidth="1"/>
    <col min="2787" max="2787" width="3.42578125" style="441" customWidth="1"/>
    <col min="2788" max="2788" width="3" style="441" customWidth="1"/>
    <col min="2789" max="3022" width="11.42578125" style="441"/>
    <col min="3023" max="3023" width="44.42578125" style="441" customWidth="1"/>
    <col min="3024" max="3024" width="13" style="441" customWidth="1"/>
    <col min="3025" max="3030" width="2" style="441" customWidth="1"/>
    <col min="3031" max="3031" width="2.42578125" style="441" customWidth="1"/>
    <col min="3032" max="3032" width="3" style="441" customWidth="1"/>
    <col min="3033" max="3035" width="2" style="441" customWidth="1"/>
    <col min="3036" max="3036" width="2.85546875" style="441" customWidth="1"/>
    <col min="3037" max="3037" width="3" style="441" customWidth="1"/>
    <col min="3038" max="3038" width="2.7109375" style="441" customWidth="1"/>
    <col min="3039" max="3039" width="2.42578125" style="441" customWidth="1"/>
    <col min="3040" max="3040" width="3.28515625" style="441" customWidth="1"/>
    <col min="3041" max="3041" width="3.5703125" style="441" customWidth="1"/>
    <col min="3042" max="3042" width="4" style="441" customWidth="1"/>
    <col min="3043" max="3043" width="3.42578125" style="441" customWidth="1"/>
    <col min="3044" max="3044" width="3" style="441" customWidth="1"/>
    <col min="3045" max="3278" width="11.42578125" style="441"/>
    <col min="3279" max="3279" width="44.42578125" style="441" customWidth="1"/>
    <col min="3280" max="3280" width="13" style="441" customWidth="1"/>
    <col min="3281" max="3286" width="2" style="441" customWidth="1"/>
    <col min="3287" max="3287" width="2.42578125" style="441" customWidth="1"/>
    <col min="3288" max="3288" width="3" style="441" customWidth="1"/>
    <col min="3289" max="3291" width="2" style="441" customWidth="1"/>
    <col min="3292" max="3292" width="2.85546875" style="441" customWidth="1"/>
    <col min="3293" max="3293" width="3" style="441" customWidth="1"/>
    <col min="3294" max="3294" width="2.7109375" style="441" customWidth="1"/>
    <col min="3295" max="3295" width="2.42578125" style="441" customWidth="1"/>
    <col min="3296" max="3296" width="3.28515625" style="441" customWidth="1"/>
    <col min="3297" max="3297" width="3.5703125" style="441" customWidth="1"/>
    <col min="3298" max="3298" width="4" style="441" customWidth="1"/>
    <col min="3299" max="3299" width="3.42578125" style="441" customWidth="1"/>
    <col min="3300" max="3300" width="3" style="441" customWidth="1"/>
    <col min="3301" max="3534" width="11.42578125" style="441"/>
    <col min="3535" max="3535" width="44.42578125" style="441" customWidth="1"/>
    <col min="3536" max="3536" width="13" style="441" customWidth="1"/>
    <col min="3537" max="3542" width="2" style="441" customWidth="1"/>
    <col min="3543" max="3543" width="2.42578125" style="441" customWidth="1"/>
    <col min="3544" max="3544" width="3" style="441" customWidth="1"/>
    <col min="3545" max="3547" width="2" style="441" customWidth="1"/>
    <col min="3548" max="3548" width="2.85546875" style="441" customWidth="1"/>
    <col min="3549" max="3549" width="3" style="441" customWidth="1"/>
    <col min="3550" max="3550" width="2.7109375" style="441" customWidth="1"/>
    <col min="3551" max="3551" width="2.42578125" style="441" customWidth="1"/>
    <col min="3552" max="3552" width="3.28515625" style="441" customWidth="1"/>
    <col min="3553" max="3553" width="3.5703125" style="441" customWidth="1"/>
    <col min="3554" max="3554" width="4" style="441" customWidth="1"/>
    <col min="3555" max="3555" width="3.42578125" style="441" customWidth="1"/>
    <col min="3556" max="3556" width="3" style="441" customWidth="1"/>
    <col min="3557" max="3790" width="11.42578125" style="441"/>
    <col min="3791" max="3791" width="44.42578125" style="441" customWidth="1"/>
    <col min="3792" max="3792" width="13" style="441" customWidth="1"/>
    <col min="3793" max="3798" width="2" style="441" customWidth="1"/>
    <col min="3799" max="3799" width="2.42578125" style="441" customWidth="1"/>
    <col min="3800" max="3800" width="3" style="441" customWidth="1"/>
    <col min="3801" max="3803" width="2" style="441" customWidth="1"/>
    <col min="3804" max="3804" width="2.85546875" style="441" customWidth="1"/>
    <col min="3805" max="3805" width="3" style="441" customWidth="1"/>
    <col min="3806" max="3806" width="2.7109375" style="441" customWidth="1"/>
    <col min="3807" max="3807" width="2.42578125" style="441" customWidth="1"/>
    <col min="3808" max="3808" width="3.28515625" style="441" customWidth="1"/>
    <col min="3809" max="3809" width="3.5703125" style="441" customWidth="1"/>
    <col min="3810" max="3810" width="4" style="441" customWidth="1"/>
    <col min="3811" max="3811" width="3.42578125" style="441" customWidth="1"/>
    <col min="3812" max="3812" width="3" style="441" customWidth="1"/>
    <col min="3813" max="4046" width="11.42578125" style="441"/>
    <col min="4047" max="4047" width="44.42578125" style="441" customWidth="1"/>
    <col min="4048" max="4048" width="13" style="441" customWidth="1"/>
    <col min="4049" max="4054" width="2" style="441" customWidth="1"/>
    <col min="4055" max="4055" width="2.42578125" style="441" customWidth="1"/>
    <col min="4056" max="4056" width="3" style="441" customWidth="1"/>
    <col min="4057" max="4059" width="2" style="441" customWidth="1"/>
    <col min="4060" max="4060" width="2.85546875" style="441" customWidth="1"/>
    <col min="4061" max="4061" width="3" style="441" customWidth="1"/>
    <col min="4062" max="4062" width="2.7109375" style="441" customWidth="1"/>
    <col min="4063" max="4063" width="2.42578125" style="441" customWidth="1"/>
    <col min="4064" max="4064" width="3.28515625" style="441" customWidth="1"/>
    <col min="4065" max="4065" width="3.5703125" style="441" customWidth="1"/>
    <col min="4066" max="4066" width="4" style="441" customWidth="1"/>
    <col min="4067" max="4067" width="3.42578125" style="441" customWidth="1"/>
    <col min="4068" max="4068" width="3" style="441" customWidth="1"/>
    <col min="4069" max="4302" width="11.42578125" style="441"/>
    <col min="4303" max="4303" width="44.42578125" style="441" customWidth="1"/>
    <col min="4304" max="4304" width="13" style="441" customWidth="1"/>
    <col min="4305" max="4310" width="2" style="441" customWidth="1"/>
    <col min="4311" max="4311" width="2.42578125" style="441" customWidth="1"/>
    <col min="4312" max="4312" width="3" style="441" customWidth="1"/>
    <col min="4313" max="4315" width="2" style="441" customWidth="1"/>
    <col min="4316" max="4316" width="2.85546875" style="441" customWidth="1"/>
    <col min="4317" max="4317" width="3" style="441" customWidth="1"/>
    <col min="4318" max="4318" width="2.7109375" style="441" customWidth="1"/>
    <col min="4319" max="4319" width="2.42578125" style="441" customWidth="1"/>
    <col min="4320" max="4320" width="3.28515625" style="441" customWidth="1"/>
    <col min="4321" max="4321" width="3.5703125" style="441" customWidth="1"/>
    <col min="4322" max="4322" width="4" style="441" customWidth="1"/>
    <col min="4323" max="4323" width="3.42578125" style="441" customWidth="1"/>
    <col min="4324" max="4324" width="3" style="441" customWidth="1"/>
    <col min="4325" max="4558" width="11.42578125" style="441"/>
    <col min="4559" max="4559" width="44.42578125" style="441" customWidth="1"/>
    <col min="4560" max="4560" width="13" style="441" customWidth="1"/>
    <col min="4561" max="4566" width="2" style="441" customWidth="1"/>
    <col min="4567" max="4567" width="2.42578125" style="441" customWidth="1"/>
    <col min="4568" max="4568" width="3" style="441" customWidth="1"/>
    <col min="4569" max="4571" width="2" style="441" customWidth="1"/>
    <col min="4572" max="4572" width="2.85546875" style="441" customWidth="1"/>
    <col min="4573" max="4573" width="3" style="441" customWidth="1"/>
    <col min="4574" max="4574" width="2.7109375" style="441" customWidth="1"/>
    <col min="4575" max="4575" width="2.42578125" style="441" customWidth="1"/>
    <col min="4576" max="4576" width="3.28515625" style="441" customWidth="1"/>
    <col min="4577" max="4577" width="3.5703125" style="441" customWidth="1"/>
    <col min="4578" max="4578" width="4" style="441" customWidth="1"/>
    <col min="4579" max="4579" width="3.42578125" style="441" customWidth="1"/>
    <col min="4580" max="4580" width="3" style="441" customWidth="1"/>
    <col min="4581" max="4814" width="11.42578125" style="441"/>
    <col min="4815" max="4815" width="44.42578125" style="441" customWidth="1"/>
    <col min="4816" max="4816" width="13" style="441" customWidth="1"/>
    <col min="4817" max="4822" width="2" style="441" customWidth="1"/>
    <col min="4823" max="4823" width="2.42578125" style="441" customWidth="1"/>
    <col min="4824" max="4824" width="3" style="441" customWidth="1"/>
    <col min="4825" max="4827" width="2" style="441" customWidth="1"/>
    <col min="4828" max="4828" width="2.85546875" style="441" customWidth="1"/>
    <col min="4829" max="4829" width="3" style="441" customWidth="1"/>
    <col min="4830" max="4830" width="2.7109375" style="441" customWidth="1"/>
    <col min="4831" max="4831" width="2.42578125" style="441" customWidth="1"/>
    <col min="4832" max="4832" width="3.28515625" style="441" customWidth="1"/>
    <col min="4833" max="4833" width="3.5703125" style="441" customWidth="1"/>
    <col min="4834" max="4834" width="4" style="441" customWidth="1"/>
    <col min="4835" max="4835" width="3.42578125" style="441" customWidth="1"/>
    <col min="4836" max="4836" width="3" style="441" customWidth="1"/>
    <col min="4837" max="5070" width="11.42578125" style="441"/>
    <col min="5071" max="5071" width="44.42578125" style="441" customWidth="1"/>
    <col min="5072" max="5072" width="13" style="441" customWidth="1"/>
    <col min="5073" max="5078" width="2" style="441" customWidth="1"/>
    <col min="5079" max="5079" width="2.42578125" style="441" customWidth="1"/>
    <col min="5080" max="5080" width="3" style="441" customWidth="1"/>
    <col min="5081" max="5083" width="2" style="441" customWidth="1"/>
    <col min="5084" max="5084" width="2.85546875" style="441" customWidth="1"/>
    <col min="5085" max="5085" width="3" style="441" customWidth="1"/>
    <col min="5086" max="5086" width="2.7109375" style="441" customWidth="1"/>
    <col min="5087" max="5087" width="2.42578125" style="441" customWidth="1"/>
    <col min="5088" max="5088" width="3.28515625" style="441" customWidth="1"/>
    <col min="5089" max="5089" width="3.5703125" style="441" customWidth="1"/>
    <col min="5090" max="5090" width="4" style="441" customWidth="1"/>
    <col min="5091" max="5091" width="3.42578125" style="441" customWidth="1"/>
    <col min="5092" max="5092" width="3" style="441" customWidth="1"/>
    <col min="5093" max="5326" width="11.42578125" style="441"/>
    <col min="5327" max="5327" width="44.42578125" style="441" customWidth="1"/>
    <col min="5328" max="5328" width="13" style="441" customWidth="1"/>
    <col min="5329" max="5334" width="2" style="441" customWidth="1"/>
    <col min="5335" max="5335" width="2.42578125" style="441" customWidth="1"/>
    <col min="5336" max="5336" width="3" style="441" customWidth="1"/>
    <col min="5337" max="5339" width="2" style="441" customWidth="1"/>
    <col min="5340" max="5340" width="2.85546875" style="441" customWidth="1"/>
    <col min="5341" max="5341" width="3" style="441" customWidth="1"/>
    <col min="5342" max="5342" width="2.7109375" style="441" customWidth="1"/>
    <col min="5343" max="5343" width="2.42578125" style="441" customWidth="1"/>
    <col min="5344" max="5344" width="3.28515625" style="441" customWidth="1"/>
    <col min="5345" max="5345" width="3.5703125" style="441" customWidth="1"/>
    <col min="5346" max="5346" width="4" style="441" customWidth="1"/>
    <col min="5347" max="5347" width="3.42578125" style="441" customWidth="1"/>
    <col min="5348" max="5348" width="3" style="441" customWidth="1"/>
    <col min="5349" max="5582" width="11.42578125" style="441"/>
    <col min="5583" max="5583" width="44.42578125" style="441" customWidth="1"/>
    <col min="5584" max="5584" width="13" style="441" customWidth="1"/>
    <col min="5585" max="5590" width="2" style="441" customWidth="1"/>
    <col min="5591" max="5591" width="2.42578125" style="441" customWidth="1"/>
    <col min="5592" max="5592" width="3" style="441" customWidth="1"/>
    <col min="5593" max="5595" width="2" style="441" customWidth="1"/>
    <col min="5596" max="5596" width="2.85546875" style="441" customWidth="1"/>
    <col min="5597" max="5597" width="3" style="441" customWidth="1"/>
    <col min="5598" max="5598" width="2.7109375" style="441" customWidth="1"/>
    <col min="5599" max="5599" width="2.42578125" style="441" customWidth="1"/>
    <col min="5600" max="5600" width="3.28515625" style="441" customWidth="1"/>
    <col min="5601" max="5601" width="3.5703125" style="441" customWidth="1"/>
    <col min="5602" max="5602" width="4" style="441" customWidth="1"/>
    <col min="5603" max="5603" width="3.42578125" style="441" customWidth="1"/>
    <col min="5604" max="5604" width="3" style="441" customWidth="1"/>
    <col min="5605" max="5838" width="11.42578125" style="441"/>
    <col min="5839" max="5839" width="44.42578125" style="441" customWidth="1"/>
    <col min="5840" max="5840" width="13" style="441" customWidth="1"/>
    <col min="5841" max="5846" width="2" style="441" customWidth="1"/>
    <col min="5847" max="5847" width="2.42578125" style="441" customWidth="1"/>
    <col min="5848" max="5848" width="3" style="441" customWidth="1"/>
    <col min="5849" max="5851" width="2" style="441" customWidth="1"/>
    <col min="5852" max="5852" width="2.85546875" style="441" customWidth="1"/>
    <col min="5853" max="5853" width="3" style="441" customWidth="1"/>
    <col min="5854" max="5854" width="2.7109375" style="441" customWidth="1"/>
    <col min="5855" max="5855" width="2.42578125" style="441" customWidth="1"/>
    <col min="5856" max="5856" width="3.28515625" style="441" customWidth="1"/>
    <col min="5857" max="5857" width="3.5703125" style="441" customWidth="1"/>
    <col min="5858" max="5858" width="4" style="441" customWidth="1"/>
    <col min="5859" max="5859" width="3.42578125" style="441" customWidth="1"/>
    <col min="5860" max="5860" width="3" style="441" customWidth="1"/>
    <col min="5861" max="6094" width="11.42578125" style="441"/>
    <col min="6095" max="6095" width="44.42578125" style="441" customWidth="1"/>
    <col min="6096" max="6096" width="13" style="441" customWidth="1"/>
    <col min="6097" max="6102" width="2" style="441" customWidth="1"/>
    <col min="6103" max="6103" width="2.42578125" style="441" customWidth="1"/>
    <col min="6104" max="6104" width="3" style="441" customWidth="1"/>
    <col min="6105" max="6107" width="2" style="441" customWidth="1"/>
    <col min="6108" max="6108" width="2.85546875" style="441" customWidth="1"/>
    <col min="6109" max="6109" width="3" style="441" customWidth="1"/>
    <col min="6110" max="6110" width="2.7109375" style="441" customWidth="1"/>
    <col min="6111" max="6111" width="2.42578125" style="441" customWidth="1"/>
    <col min="6112" max="6112" width="3.28515625" style="441" customWidth="1"/>
    <col min="6113" max="6113" width="3.5703125" style="441" customWidth="1"/>
    <col min="6114" max="6114" width="4" style="441" customWidth="1"/>
    <col min="6115" max="6115" width="3.42578125" style="441" customWidth="1"/>
    <col min="6116" max="6116" width="3" style="441" customWidth="1"/>
    <col min="6117" max="6350" width="11.42578125" style="441"/>
    <col min="6351" max="6351" width="44.42578125" style="441" customWidth="1"/>
    <col min="6352" max="6352" width="13" style="441" customWidth="1"/>
    <col min="6353" max="6358" width="2" style="441" customWidth="1"/>
    <col min="6359" max="6359" width="2.42578125" style="441" customWidth="1"/>
    <col min="6360" max="6360" width="3" style="441" customWidth="1"/>
    <col min="6361" max="6363" width="2" style="441" customWidth="1"/>
    <col min="6364" max="6364" width="2.85546875" style="441" customWidth="1"/>
    <col min="6365" max="6365" width="3" style="441" customWidth="1"/>
    <col min="6366" max="6366" width="2.7109375" style="441" customWidth="1"/>
    <col min="6367" max="6367" width="2.42578125" style="441" customWidth="1"/>
    <col min="6368" max="6368" width="3.28515625" style="441" customWidth="1"/>
    <col min="6369" max="6369" width="3.5703125" style="441" customWidth="1"/>
    <col min="6370" max="6370" width="4" style="441" customWidth="1"/>
    <col min="6371" max="6371" width="3.42578125" style="441" customWidth="1"/>
    <col min="6372" max="6372" width="3" style="441" customWidth="1"/>
    <col min="6373" max="6606" width="11.42578125" style="441"/>
    <col min="6607" max="6607" width="44.42578125" style="441" customWidth="1"/>
    <col min="6608" max="6608" width="13" style="441" customWidth="1"/>
    <col min="6609" max="6614" width="2" style="441" customWidth="1"/>
    <col min="6615" max="6615" width="2.42578125" style="441" customWidth="1"/>
    <col min="6616" max="6616" width="3" style="441" customWidth="1"/>
    <col min="6617" max="6619" width="2" style="441" customWidth="1"/>
    <col min="6620" max="6620" width="2.85546875" style="441" customWidth="1"/>
    <col min="6621" max="6621" width="3" style="441" customWidth="1"/>
    <col min="6622" max="6622" width="2.7109375" style="441" customWidth="1"/>
    <col min="6623" max="6623" width="2.42578125" style="441" customWidth="1"/>
    <col min="6624" max="6624" width="3.28515625" style="441" customWidth="1"/>
    <col min="6625" max="6625" width="3.5703125" style="441" customWidth="1"/>
    <col min="6626" max="6626" width="4" style="441" customWidth="1"/>
    <col min="6627" max="6627" width="3.42578125" style="441" customWidth="1"/>
    <col min="6628" max="6628" width="3" style="441" customWidth="1"/>
    <col min="6629" max="6862" width="11.42578125" style="441"/>
    <col min="6863" max="6863" width="44.42578125" style="441" customWidth="1"/>
    <col min="6864" max="6864" width="13" style="441" customWidth="1"/>
    <col min="6865" max="6870" width="2" style="441" customWidth="1"/>
    <col min="6871" max="6871" width="2.42578125" style="441" customWidth="1"/>
    <col min="6872" max="6872" width="3" style="441" customWidth="1"/>
    <col min="6873" max="6875" width="2" style="441" customWidth="1"/>
    <col min="6876" max="6876" width="2.85546875" style="441" customWidth="1"/>
    <col min="6877" max="6877" width="3" style="441" customWidth="1"/>
    <col min="6878" max="6878" width="2.7109375" style="441" customWidth="1"/>
    <col min="6879" max="6879" width="2.42578125" style="441" customWidth="1"/>
    <col min="6880" max="6880" width="3.28515625" style="441" customWidth="1"/>
    <col min="6881" max="6881" width="3.5703125" style="441" customWidth="1"/>
    <col min="6882" max="6882" width="4" style="441" customWidth="1"/>
    <col min="6883" max="6883" width="3.42578125" style="441" customWidth="1"/>
    <col min="6884" max="6884" width="3" style="441" customWidth="1"/>
    <col min="6885" max="7118" width="11.42578125" style="441"/>
    <col min="7119" max="7119" width="44.42578125" style="441" customWidth="1"/>
    <col min="7120" max="7120" width="13" style="441" customWidth="1"/>
    <col min="7121" max="7126" width="2" style="441" customWidth="1"/>
    <col min="7127" max="7127" width="2.42578125" style="441" customWidth="1"/>
    <col min="7128" max="7128" width="3" style="441" customWidth="1"/>
    <col min="7129" max="7131" width="2" style="441" customWidth="1"/>
    <col min="7132" max="7132" width="2.85546875" style="441" customWidth="1"/>
    <col min="7133" max="7133" width="3" style="441" customWidth="1"/>
    <col min="7134" max="7134" width="2.7109375" style="441" customWidth="1"/>
    <col min="7135" max="7135" width="2.42578125" style="441" customWidth="1"/>
    <col min="7136" max="7136" width="3.28515625" style="441" customWidth="1"/>
    <col min="7137" max="7137" width="3.5703125" style="441" customWidth="1"/>
    <col min="7138" max="7138" width="4" style="441" customWidth="1"/>
    <col min="7139" max="7139" width="3.42578125" style="441" customWidth="1"/>
    <col min="7140" max="7140" width="3" style="441" customWidth="1"/>
    <col min="7141" max="7374" width="11.42578125" style="441"/>
    <col min="7375" max="7375" width="44.42578125" style="441" customWidth="1"/>
    <col min="7376" max="7376" width="13" style="441" customWidth="1"/>
    <col min="7377" max="7382" width="2" style="441" customWidth="1"/>
    <col min="7383" max="7383" width="2.42578125" style="441" customWidth="1"/>
    <col min="7384" max="7384" width="3" style="441" customWidth="1"/>
    <col min="7385" max="7387" width="2" style="441" customWidth="1"/>
    <col min="7388" max="7388" width="2.85546875" style="441" customWidth="1"/>
    <col min="7389" max="7389" width="3" style="441" customWidth="1"/>
    <col min="7390" max="7390" width="2.7109375" style="441" customWidth="1"/>
    <col min="7391" max="7391" width="2.42578125" style="441" customWidth="1"/>
    <col min="7392" max="7392" width="3.28515625" style="441" customWidth="1"/>
    <col min="7393" max="7393" width="3.5703125" style="441" customWidth="1"/>
    <col min="7394" max="7394" width="4" style="441" customWidth="1"/>
    <col min="7395" max="7395" width="3.42578125" style="441" customWidth="1"/>
    <col min="7396" max="7396" width="3" style="441" customWidth="1"/>
    <col min="7397" max="7630" width="11.42578125" style="441"/>
    <col min="7631" max="7631" width="44.42578125" style="441" customWidth="1"/>
    <col min="7632" max="7632" width="13" style="441" customWidth="1"/>
    <col min="7633" max="7638" width="2" style="441" customWidth="1"/>
    <col min="7639" max="7639" width="2.42578125" style="441" customWidth="1"/>
    <col min="7640" max="7640" width="3" style="441" customWidth="1"/>
    <col min="7641" max="7643" width="2" style="441" customWidth="1"/>
    <col min="7644" max="7644" width="2.85546875" style="441" customWidth="1"/>
    <col min="7645" max="7645" width="3" style="441" customWidth="1"/>
    <col min="7646" max="7646" width="2.7109375" style="441" customWidth="1"/>
    <col min="7647" max="7647" width="2.42578125" style="441" customWidth="1"/>
    <col min="7648" max="7648" width="3.28515625" style="441" customWidth="1"/>
    <col min="7649" max="7649" width="3.5703125" style="441" customWidth="1"/>
    <col min="7650" max="7650" width="4" style="441" customWidth="1"/>
    <col min="7651" max="7651" width="3.42578125" style="441" customWidth="1"/>
    <col min="7652" max="7652" width="3" style="441" customWidth="1"/>
    <col min="7653" max="7886" width="11.42578125" style="441"/>
    <col min="7887" max="7887" width="44.42578125" style="441" customWidth="1"/>
    <col min="7888" max="7888" width="13" style="441" customWidth="1"/>
    <col min="7889" max="7894" width="2" style="441" customWidth="1"/>
    <col min="7895" max="7895" width="2.42578125" style="441" customWidth="1"/>
    <col min="7896" max="7896" width="3" style="441" customWidth="1"/>
    <col min="7897" max="7899" width="2" style="441" customWidth="1"/>
    <col min="7900" max="7900" width="2.85546875" style="441" customWidth="1"/>
    <col min="7901" max="7901" width="3" style="441" customWidth="1"/>
    <col min="7902" max="7902" width="2.7109375" style="441" customWidth="1"/>
    <col min="7903" max="7903" width="2.42578125" style="441" customWidth="1"/>
    <col min="7904" max="7904" width="3.28515625" style="441" customWidth="1"/>
    <col min="7905" max="7905" width="3.5703125" style="441" customWidth="1"/>
    <col min="7906" max="7906" width="4" style="441" customWidth="1"/>
    <col min="7907" max="7907" width="3.42578125" style="441" customWidth="1"/>
    <col min="7908" max="7908" width="3" style="441" customWidth="1"/>
    <col min="7909" max="8142" width="11.42578125" style="441"/>
    <col min="8143" max="8143" width="44.42578125" style="441" customWidth="1"/>
    <col min="8144" max="8144" width="13" style="441" customWidth="1"/>
    <col min="8145" max="8150" width="2" style="441" customWidth="1"/>
    <col min="8151" max="8151" width="2.42578125" style="441" customWidth="1"/>
    <col min="8152" max="8152" width="3" style="441" customWidth="1"/>
    <col min="8153" max="8155" width="2" style="441" customWidth="1"/>
    <col min="8156" max="8156" width="2.85546875" style="441" customWidth="1"/>
    <col min="8157" max="8157" width="3" style="441" customWidth="1"/>
    <col min="8158" max="8158" width="2.7109375" style="441" customWidth="1"/>
    <col min="8159" max="8159" width="2.42578125" style="441" customWidth="1"/>
    <col min="8160" max="8160" width="3.28515625" style="441" customWidth="1"/>
    <col min="8161" max="8161" width="3.5703125" style="441" customWidth="1"/>
    <col min="8162" max="8162" width="4" style="441" customWidth="1"/>
    <col min="8163" max="8163" width="3.42578125" style="441" customWidth="1"/>
    <col min="8164" max="8164" width="3" style="441" customWidth="1"/>
    <col min="8165" max="8398" width="11.42578125" style="441"/>
    <col min="8399" max="8399" width="44.42578125" style="441" customWidth="1"/>
    <col min="8400" max="8400" width="13" style="441" customWidth="1"/>
    <col min="8401" max="8406" width="2" style="441" customWidth="1"/>
    <col min="8407" max="8407" width="2.42578125" style="441" customWidth="1"/>
    <col min="8408" max="8408" width="3" style="441" customWidth="1"/>
    <col min="8409" max="8411" width="2" style="441" customWidth="1"/>
    <col min="8412" max="8412" width="2.85546875" style="441" customWidth="1"/>
    <col min="8413" max="8413" width="3" style="441" customWidth="1"/>
    <col min="8414" max="8414" width="2.7109375" style="441" customWidth="1"/>
    <col min="8415" max="8415" width="2.42578125" style="441" customWidth="1"/>
    <col min="8416" max="8416" width="3.28515625" style="441" customWidth="1"/>
    <col min="8417" max="8417" width="3.5703125" style="441" customWidth="1"/>
    <col min="8418" max="8418" width="4" style="441" customWidth="1"/>
    <col min="8419" max="8419" width="3.42578125" style="441" customWidth="1"/>
    <col min="8420" max="8420" width="3" style="441" customWidth="1"/>
    <col min="8421" max="8654" width="11.42578125" style="441"/>
    <col min="8655" max="8655" width="44.42578125" style="441" customWidth="1"/>
    <col min="8656" max="8656" width="13" style="441" customWidth="1"/>
    <col min="8657" max="8662" width="2" style="441" customWidth="1"/>
    <col min="8663" max="8663" width="2.42578125" style="441" customWidth="1"/>
    <col min="8664" max="8664" width="3" style="441" customWidth="1"/>
    <col min="8665" max="8667" width="2" style="441" customWidth="1"/>
    <col min="8668" max="8668" width="2.85546875" style="441" customWidth="1"/>
    <col min="8669" max="8669" width="3" style="441" customWidth="1"/>
    <col min="8670" max="8670" width="2.7109375" style="441" customWidth="1"/>
    <col min="8671" max="8671" width="2.42578125" style="441" customWidth="1"/>
    <col min="8672" max="8672" width="3.28515625" style="441" customWidth="1"/>
    <col min="8673" max="8673" width="3.5703125" style="441" customWidth="1"/>
    <col min="8674" max="8674" width="4" style="441" customWidth="1"/>
    <col min="8675" max="8675" width="3.42578125" style="441" customWidth="1"/>
    <col min="8676" max="8676" width="3" style="441" customWidth="1"/>
    <col min="8677" max="8910" width="11.42578125" style="441"/>
    <col min="8911" max="8911" width="44.42578125" style="441" customWidth="1"/>
    <col min="8912" max="8912" width="13" style="441" customWidth="1"/>
    <col min="8913" max="8918" width="2" style="441" customWidth="1"/>
    <col min="8919" max="8919" width="2.42578125" style="441" customWidth="1"/>
    <col min="8920" max="8920" width="3" style="441" customWidth="1"/>
    <col min="8921" max="8923" width="2" style="441" customWidth="1"/>
    <col min="8924" max="8924" width="2.85546875" style="441" customWidth="1"/>
    <col min="8925" max="8925" width="3" style="441" customWidth="1"/>
    <col min="8926" max="8926" width="2.7109375" style="441" customWidth="1"/>
    <col min="8927" max="8927" width="2.42578125" style="441" customWidth="1"/>
    <col min="8928" max="8928" width="3.28515625" style="441" customWidth="1"/>
    <col min="8929" max="8929" width="3.5703125" style="441" customWidth="1"/>
    <col min="8930" max="8930" width="4" style="441" customWidth="1"/>
    <col min="8931" max="8931" width="3.42578125" style="441" customWidth="1"/>
    <col min="8932" max="8932" width="3" style="441" customWidth="1"/>
    <col min="8933" max="9166" width="11.42578125" style="441"/>
    <col min="9167" max="9167" width="44.42578125" style="441" customWidth="1"/>
    <col min="9168" max="9168" width="13" style="441" customWidth="1"/>
    <col min="9169" max="9174" width="2" style="441" customWidth="1"/>
    <col min="9175" max="9175" width="2.42578125" style="441" customWidth="1"/>
    <col min="9176" max="9176" width="3" style="441" customWidth="1"/>
    <col min="9177" max="9179" width="2" style="441" customWidth="1"/>
    <col min="9180" max="9180" width="2.85546875" style="441" customWidth="1"/>
    <col min="9181" max="9181" width="3" style="441" customWidth="1"/>
    <col min="9182" max="9182" width="2.7109375" style="441" customWidth="1"/>
    <col min="9183" max="9183" width="2.42578125" style="441" customWidth="1"/>
    <col min="9184" max="9184" width="3.28515625" style="441" customWidth="1"/>
    <col min="9185" max="9185" width="3.5703125" style="441" customWidth="1"/>
    <col min="9186" max="9186" width="4" style="441" customWidth="1"/>
    <col min="9187" max="9187" width="3.42578125" style="441" customWidth="1"/>
    <col min="9188" max="9188" width="3" style="441" customWidth="1"/>
    <col min="9189" max="9422" width="11.42578125" style="441"/>
    <col min="9423" max="9423" width="44.42578125" style="441" customWidth="1"/>
    <col min="9424" max="9424" width="13" style="441" customWidth="1"/>
    <col min="9425" max="9430" width="2" style="441" customWidth="1"/>
    <col min="9431" max="9431" width="2.42578125" style="441" customWidth="1"/>
    <col min="9432" max="9432" width="3" style="441" customWidth="1"/>
    <col min="9433" max="9435" width="2" style="441" customWidth="1"/>
    <col min="9436" max="9436" width="2.85546875" style="441" customWidth="1"/>
    <col min="9437" max="9437" width="3" style="441" customWidth="1"/>
    <col min="9438" max="9438" width="2.7109375" style="441" customWidth="1"/>
    <col min="9439" max="9439" width="2.42578125" style="441" customWidth="1"/>
    <col min="9440" max="9440" width="3.28515625" style="441" customWidth="1"/>
    <col min="9441" max="9441" width="3.5703125" style="441" customWidth="1"/>
    <col min="9442" max="9442" width="4" style="441" customWidth="1"/>
    <col min="9443" max="9443" width="3.42578125" style="441" customWidth="1"/>
    <col min="9444" max="9444" width="3" style="441" customWidth="1"/>
    <col min="9445" max="9678" width="11.42578125" style="441"/>
    <col min="9679" max="9679" width="44.42578125" style="441" customWidth="1"/>
    <col min="9680" max="9680" width="13" style="441" customWidth="1"/>
    <col min="9681" max="9686" width="2" style="441" customWidth="1"/>
    <col min="9687" max="9687" width="2.42578125" style="441" customWidth="1"/>
    <col min="9688" max="9688" width="3" style="441" customWidth="1"/>
    <col min="9689" max="9691" width="2" style="441" customWidth="1"/>
    <col min="9692" max="9692" width="2.85546875" style="441" customWidth="1"/>
    <col min="9693" max="9693" width="3" style="441" customWidth="1"/>
    <col min="9694" max="9694" width="2.7109375" style="441" customWidth="1"/>
    <col min="9695" max="9695" width="2.42578125" style="441" customWidth="1"/>
    <col min="9696" max="9696" width="3.28515625" style="441" customWidth="1"/>
    <col min="9697" max="9697" width="3.5703125" style="441" customWidth="1"/>
    <col min="9698" max="9698" width="4" style="441" customWidth="1"/>
    <col min="9699" max="9699" width="3.42578125" style="441" customWidth="1"/>
    <col min="9700" max="9700" width="3" style="441" customWidth="1"/>
    <col min="9701" max="9934" width="11.42578125" style="441"/>
    <col min="9935" max="9935" width="44.42578125" style="441" customWidth="1"/>
    <col min="9936" max="9936" width="13" style="441" customWidth="1"/>
    <col min="9937" max="9942" width="2" style="441" customWidth="1"/>
    <col min="9943" max="9943" width="2.42578125" style="441" customWidth="1"/>
    <col min="9944" max="9944" width="3" style="441" customWidth="1"/>
    <col min="9945" max="9947" width="2" style="441" customWidth="1"/>
    <col min="9948" max="9948" width="2.85546875" style="441" customWidth="1"/>
    <col min="9949" max="9949" width="3" style="441" customWidth="1"/>
    <col min="9950" max="9950" width="2.7109375" style="441" customWidth="1"/>
    <col min="9951" max="9951" width="2.42578125" style="441" customWidth="1"/>
    <col min="9952" max="9952" width="3.28515625" style="441" customWidth="1"/>
    <col min="9953" max="9953" width="3.5703125" style="441" customWidth="1"/>
    <col min="9954" max="9954" width="4" style="441" customWidth="1"/>
    <col min="9955" max="9955" width="3.42578125" style="441" customWidth="1"/>
    <col min="9956" max="9956" width="3" style="441" customWidth="1"/>
    <col min="9957" max="10190" width="11.42578125" style="441"/>
    <col min="10191" max="10191" width="44.42578125" style="441" customWidth="1"/>
    <col min="10192" max="10192" width="13" style="441" customWidth="1"/>
    <col min="10193" max="10198" width="2" style="441" customWidth="1"/>
    <col min="10199" max="10199" width="2.42578125" style="441" customWidth="1"/>
    <col min="10200" max="10200" width="3" style="441" customWidth="1"/>
    <col min="10201" max="10203" width="2" style="441" customWidth="1"/>
    <col min="10204" max="10204" width="2.85546875" style="441" customWidth="1"/>
    <col min="10205" max="10205" width="3" style="441" customWidth="1"/>
    <col min="10206" max="10206" width="2.7109375" style="441" customWidth="1"/>
    <col min="10207" max="10207" width="2.42578125" style="441" customWidth="1"/>
    <col min="10208" max="10208" width="3.28515625" style="441" customWidth="1"/>
    <col min="10209" max="10209" width="3.5703125" style="441" customWidth="1"/>
    <col min="10210" max="10210" width="4" style="441" customWidth="1"/>
    <col min="10211" max="10211" width="3.42578125" style="441" customWidth="1"/>
    <col min="10212" max="10212" width="3" style="441" customWidth="1"/>
    <col min="10213" max="10446" width="11.42578125" style="441"/>
    <col min="10447" max="10447" width="44.42578125" style="441" customWidth="1"/>
    <col min="10448" max="10448" width="13" style="441" customWidth="1"/>
    <col min="10449" max="10454" width="2" style="441" customWidth="1"/>
    <col min="10455" max="10455" width="2.42578125" style="441" customWidth="1"/>
    <col min="10456" max="10456" width="3" style="441" customWidth="1"/>
    <col min="10457" max="10459" width="2" style="441" customWidth="1"/>
    <col min="10460" max="10460" width="2.85546875" style="441" customWidth="1"/>
    <col min="10461" max="10461" width="3" style="441" customWidth="1"/>
    <col min="10462" max="10462" width="2.7109375" style="441" customWidth="1"/>
    <col min="10463" max="10463" width="2.42578125" style="441" customWidth="1"/>
    <col min="10464" max="10464" width="3.28515625" style="441" customWidth="1"/>
    <col min="10465" max="10465" width="3.5703125" style="441" customWidth="1"/>
    <col min="10466" max="10466" width="4" style="441" customWidth="1"/>
    <col min="10467" max="10467" width="3.42578125" style="441" customWidth="1"/>
    <col min="10468" max="10468" width="3" style="441" customWidth="1"/>
    <col min="10469" max="10702" width="11.42578125" style="441"/>
    <col min="10703" max="10703" width="44.42578125" style="441" customWidth="1"/>
    <col min="10704" max="10704" width="13" style="441" customWidth="1"/>
    <col min="10705" max="10710" width="2" style="441" customWidth="1"/>
    <col min="10711" max="10711" width="2.42578125" style="441" customWidth="1"/>
    <col min="10712" max="10712" width="3" style="441" customWidth="1"/>
    <col min="10713" max="10715" width="2" style="441" customWidth="1"/>
    <col min="10716" max="10716" width="2.85546875" style="441" customWidth="1"/>
    <col min="10717" max="10717" width="3" style="441" customWidth="1"/>
    <col min="10718" max="10718" width="2.7109375" style="441" customWidth="1"/>
    <col min="10719" max="10719" width="2.42578125" style="441" customWidth="1"/>
    <col min="10720" max="10720" width="3.28515625" style="441" customWidth="1"/>
    <col min="10721" max="10721" width="3.5703125" style="441" customWidth="1"/>
    <col min="10722" max="10722" width="4" style="441" customWidth="1"/>
    <col min="10723" max="10723" width="3.42578125" style="441" customWidth="1"/>
    <col min="10724" max="10724" width="3" style="441" customWidth="1"/>
    <col min="10725" max="10958" width="11.42578125" style="441"/>
    <col min="10959" max="10959" width="44.42578125" style="441" customWidth="1"/>
    <col min="10960" max="10960" width="13" style="441" customWidth="1"/>
    <col min="10961" max="10966" width="2" style="441" customWidth="1"/>
    <col min="10967" max="10967" width="2.42578125" style="441" customWidth="1"/>
    <col min="10968" max="10968" width="3" style="441" customWidth="1"/>
    <col min="10969" max="10971" width="2" style="441" customWidth="1"/>
    <col min="10972" max="10972" width="2.85546875" style="441" customWidth="1"/>
    <col min="10973" max="10973" width="3" style="441" customWidth="1"/>
    <col min="10974" max="10974" width="2.7109375" style="441" customWidth="1"/>
    <col min="10975" max="10975" width="2.42578125" style="441" customWidth="1"/>
    <col min="10976" max="10976" width="3.28515625" style="441" customWidth="1"/>
    <col min="10977" max="10977" width="3.5703125" style="441" customWidth="1"/>
    <col min="10978" max="10978" width="4" style="441" customWidth="1"/>
    <col min="10979" max="10979" width="3.42578125" style="441" customWidth="1"/>
    <col min="10980" max="10980" width="3" style="441" customWidth="1"/>
    <col min="10981" max="11214" width="11.42578125" style="441"/>
    <col min="11215" max="11215" width="44.42578125" style="441" customWidth="1"/>
    <col min="11216" max="11216" width="13" style="441" customWidth="1"/>
    <col min="11217" max="11222" width="2" style="441" customWidth="1"/>
    <col min="11223" max="11223" width="2.42578125" style="441" customWidth="1"/>
    <col min="11224" max="11224" width="3" style="441" customWidth="1"/>
    <col min="11225" max="11227" width="2" style="441" customWidth="1"/>
    <col min="11228" max="11228" width="2.85546875" style="441" customWidth="1"/>
    <col min="11229" max="11229" width="3" style="441" customWidth="1"/>
    <col min="11230" max="11230" width="2.7109375" style="441" customWidth="1"/>
    <col min="11231" max="11231" width="2.42578125" style="441" customWidth="1"/>
    <col min="11232" max="11232" width="3.28515625" style="441" customWidth="1"/>
    <col min="11233" max="11233" width="3.5703125" style="441" customWidth="1"/>
    <col min="11234" max="11234" width="4" style="441" customWidth="1"/>
    <col min="11235" max="11235" width="3.42578125" style="441" customWidth="1"/>
    <col min="11236" max="11236" width="3" style="441" customWidth="1"/>
    <col min="11237" max="11470" width="11.42578125" style="441"/>
    <col min="11471" max="11471" width="44.42578125" style="441" customWidth="1"/>
    <col min="11472" max="11472" width="13" style="441" customWidth="1"/>
    <col min="11473" max="11478" width="2" style="441" customWidth="1"/>
    <col min="11479" max="11479" width="2.42578125" style="441" customWidth="1"/>
    <col min="11480" max="11480" width="3" style="441" customWidth="1"/>
    <col min="11481" max="11483" width="2" style="441" customWidth="1"/>
    <col min="11484" max="11484" width="2.85546875" style="441" customWidth="1"/>
    <col min="11485" max="11485" width="3" style="441" customWidth="1"/>
    <col min="11486" max="11486" width="2.7109375" style="441" customWidth="1"/>
    <col min="11487" max="11487" width="2.42578125" style="441" customWidth="1"/>
    <col min="11488" max="11488" width="3.28515625" style="441" customWidth="1"/>
    <col min="11489" max="11489" width="3.5703125" style="441" customWidth="1"/>
    <col min="11490" max="11490" width="4" style="441" customWidth="1"/>
    <col min="11491" max="11491" width="3.42578125" style="441" customWidth="1"/>
    <col min="11492" max="11492" width="3" style="441" customWidth="1"/>
    <col min="11493" max="11726" width="11.42578125" style="441"/>
    <col min="11727" max="11727" width="44.42578125" style="441" customWidth="1"/>
    <col min="11728" max="11728" width="13" style="441" customWidth="1"/>
    <col min="11729" max="11734" width="2" style="441" customWidth="1"/>
    <col min="11735" max="11735" width="2.42578125" style="441" customWidth="1"/>
    <col min="11736" max="11736" width="3" style="441" customWidth="1"/>
    <col min="11737" max="11739" width="2" style="441" customWidth="1"/>
    <col min="11740" max="11740" width="2.85546875" style="441" customWidth="1"/>
    <col min="11741" max="11741" width="3" style="441" customWidth="1"/>
    <col min="11742" max="11742" width="2.7109375" style="441" customWidth="1"/>
    <col min="11743" max="11743" width="2.42578125" style="441" customWidth="1"/>
    <col min="11744" max="11744" width="3.28515625" style="441" customWidth="1"/>
    <col min="11745" max="11745" width="3.5703125" style="441" customWidth="1"/>
    <col min="11746" max="11746" width="4" style="441" customWidth="1"/>
    <col min="11747" max="11747" width="3.42578125" style="441" customWidth="1"/>
    <col min="11748" max="11748" width="3" style="441" customWidth="1"/>
    <col min="11749" max="11982" width="11.42578125" style="441"/>
    <col min="11983" max="11983" width="44.42578125" style="441" customWidth="1"/>
    <col min="11984" max="11984" width="13" style="441" customWidth="1"/>
    <col min="11985" max="11990" width="2" style="441" customWidth="1"/>
    <col min="11991" max="11991" width="2.42578125" style="441" customWidth="1"/>
    <col min="11992" max="11992" width="3" style="441" customWidth="1"/>
    <col min="11993" max="11995" width="2" style="441" customWidth="1"/>
    <col min="11996" max="11996" width="2.85546875" style="441" customWidth="1"/>
    <col min="11997" max="11997" width="3" style="441" customWidth="1"/>
    <col min="11998" max="11998" width="2.7109375" style="441" customWidth="1"/>
    <col min="11999" max="11999" width="2.42578125" style="441" customWidth="1"/>
    <col min="12000" max="12000" width="3.28515625" style="441" customWidth="1"/>
    <col min="12001" max="12001" width="3.5703125" style="441" customWidth="1"/>
    <col min="12002" max="12002" width="4" style="441" customWidth="1"/>
    <col min="12003" max="12003" width="3.42578125" style="441" customWidth="1"/>
    <col min="12004" max="12004" width="3" style="441" customWidth="1"/>
    <col min="12005" max="12238" width="11.42578125" style="441"/>
    <col min="12239" max="12239" width="44.42578125" style="441" customWidth="1"/>
    <col min="12240" max="12240" width="13" style="441" customWidth="1"/>
    <col min="12241" max="12246" width="2" style="441" customWidth="1"/>
    <col min="12247" max="12247" width="2.42578125" style="441" customWidth="1"/>
    <col min="12248" max="12248" width="3" style="441" customWidth="1"/>
    <col min="12249" max="12251" width="2" style="441" customWidth="1"/>
    <col min="12252" max="12252" width="2.85546875" style="441" customWidth="1"/>
    <col min="12253" max="12253" width="3" style="441" customWidth="1"/>
    <col min="12254" max="12254" width="2.7109375" style="441" customWidth="1"/>
    <col min="12255" max="12255" width="2.42578125" style="441" customWidth="1"/>
    <col min="12256" max="12256" width="3.28515625" style="441" customWidth="1"/>
    <col min="12257" max="12257" width="3.5703125" style="441" customWidth="1"/>
    <col min="12258" max="12258" width="4" style="441" customWidth="1"/>
    <col min="12259" max="12259" width="3.42578125" style="441" customWidth="1"/>
    <col min="12260" max="12260" width="3" style="441" customWidth="1"/>
    <col min="12261" max="12494" width="11.42578125" style="441"/>
    <col min="12495" max="12495" width="44.42578125" style="441" customWidth="1"/>
    <col min="12496" max="12496" width="13" style="441" customWidth="1"/>
    <col min="12497" max="12502" width="2" style="441" customWidth="1"/>
    <col min="12503" max="12503" width="2.42578125" style="441" customWidth="1"/>
    <col min="12504" max="12504" width="3" style="441" customWidth="1"/>
    <col min="12505" max="12507" width="2" style="441" customWidth="1"/>
    <col min="12508" max="12508" width="2.85546875" style="441" customWidth="1"/>
    <col min="12509" max="12509" width="3" style="441" customWidth="1"/>
    <col min="12510" max="12510" width="2.7109375" style="441" customWidth="1"/>
    <col min="12511" max="12511" width="2.42578125" style="441" customWidth="1"/>
    <col min="12512" max="12512" width="3.28515625" style="441" customWidth="1"/>
    <col min="12513" max="12513" width="3.5703125" style="441" customWidth="1"/>
    <col min="12514" max="12514" width="4" style="441" customWidth="1"/>
    <col min="12515" max="12515" width="3.42578125" style="441" customWidth="1"/>
    <col min="12516" max="12516" width="3" style="441" customWidth="1"/>
    <col min="12517" max="12750" width="11.42578125" style="441"/>
    <col min="12751" max="12751" width="44.42578125" style="441" customWidth="1"/>
    <col min="12752" max="12752" width="13" style="441" customWidth="1"/>
    <col min="12753" max="12758" width="2" style="441" customWidth="1"/>
    <col min="12759" max="12759" width="2.42578125" style="441" customWidth="1"/>
    <col min="12760" max="12760" width="3" style="441" customWidth="1"/>
    <col min="12761" max="12763" width="2" style="441" customWidth="1"/>
    <col min="12764" max="12764" width="2.85546875" style="441" customWidth="1"/>
    <col min="12765" max="12765" width="3" style="441" customWidth="1"/>
    <col min="12766" max="12766" width="2.7109375" style="441" customWidth="1"/>
    <col min="12767" max="12767" width="2.42578125" style="441" customWidth="1"/>
    <col min="12768" max="12768" width="3.28515625" style="441" customWidth="1"/>
    <col min="12769" max="12769" width="3.5703125" style="441" customWidth="1"/>
    <col min="12770" max="12770" width="4" style="441" customWidth="1"/>
    <col min="12771" max="12771" width="3.42578125" style="441" customWidth="1"/>
    <col min="12772" max="12772" width="3" style="441" customWidth="1"/>
    <col min="12773" max="13006" width="11.42578125" style="441"/>
    <col min="13007" max="13007" width="44.42578125" style="441" customWidth="1"/>
    <col min="13008" max="13008" width="13" style="441" customWidth="1"/>
    <col min="13009" max="13014" width="2" style="441" customWidth="1"/>
    <col min="13015" max="13015" width="2.42578125" style="441" customWidth="1"/>
    <col min="13016" max="13016" width="3" style="441" customWidth="1"/>
    <col min="13017" max="13019" width="2" style="441" customWidth="1"/>
    <col min="13020" max="13020" width="2.85546875" style="441" customWidth="1"/>
    <col min="13021" max="13021" width="3" style="441" customWidth="1"/>
    <col min="13022" max="13022" width="2.7109375" style="441" customWidth="1"/>
    <col min="13023" max="13023" width="2.42578125" style="441" customWidth="1"/>
    <col min="13024" max="13024" width="3.28515625" style="441" customWidth="1"/>
    <col min="13025" max="13025" width="3.5703125" style="441" customWidth="1"/>
    <col min="13026" max="13026" width="4" style="441" customWidth="1"/>
    <col min="13027" max="13027" width="3.42578125" style="441" customWidth="1"/>
    <col min="13028" max="13028" width="3" style="441" customWidth="1"/>
    <col min="13029" max="13262" width="11.42578125" style="441"/>
    <col min="13263" max="13263" width="44.42578125" style="441" customWidth="1"/>
    <col min="13264" max="13264" width="13" style="441" customWidth="1"/>
    <col min="13265" max="13270" width="2" style="441" customWidth="1"/>
    <col min="13271" max="13271" width="2.42578125" style="441" customWidth="1"/>
    <col min="13272" max="13272" width="3" style="441" customWidth="1"/>
    <col min="13273" max="13275" width="2" style="441" customWidth="1"/>
    <col min="13276" max="13276" width="2.85546875" style="441" customWidth="1"/>
    <col min="13277" max="13277" width="3" style="441" customWidth="1"/>
    <col min="13278" max="13278" width="2.7109375" style="441" customWidth="1"/>
    <col min="13279" max="13279" width="2.42578125" style="441" customWidth="1"/>
    <col min="13280" max="13280" width="3.28515625" style="441" customWidth="1"/>
    <col min="13281" max="13281" width="3.5703125" style="441" customWidth="1"/>
    <col min="13282" max="13282" width="4" style="441" customWidth="1"/>
    <col min="13283" max="13283" width="3.42578125" style="441" customWidth="1"/>
    <col min="13284" max="13284" width="3" style="441" customWidth="1"/>
    <col min="13285" max="13518" width="11.42578125" style="441"/>
    <col min="13519" max="13519" width="44.42578125" style="441" customWidth="1"/>
    <col min="13520" max="13520" width="13" style="441" customWidth="1"/>
    <col min="13521" max="13526" width="2" style="441" customWidth="1"/>
    <col min="13527" max="13527" width="2.42578125" style="441" customWidth="1"/>
    <col min="13528" max="13528" width="3" style="441" customWidth="1"/>
    <col min="13529" max="13531" width="2" style="441" customWidth="1"/>
    <col min="13532" max="13532" width="2.85546875" style="441" customWidth="1"/>
    <col min="13533" max="13533" width="3" style="441" customWidth="1"/>
    <col min="13534" max="13534" width="2.7109375" style="441" customWidth="1"/>
    <col min="13535" max="13535" width="2.42578125" style="441" customWidth="1"/>
    <col min="13536" max="13536" width="3.28515625" style="441" customWidth="1"/>
    <col min="13537" max="13537" width="3.5703125" style="441" customWidth="1"/>
    <col min="13538" max="13538" width="4" style="441" customWidth="1"/>
    <col min="13539" max="13539" width="3.42578125" style="441" customWidth="1"/>
    <col min="13540" max="13540" width="3" style="441" customWidth="1"/>
    <col min="13541" max="13774" width="11.42578125" style="441"/>
    <col min="13775" max="13775" width="44.42578125" style="441" customWidth="1"/>
    <col min="13776" max="13776" width="13" style="441" customWidth="1"/>
    <col min="13777" max="13782" width="2" style="441" customWidth="1"/>
    <col min="13783" max="13783" width="2.42578125" style="441" customWidth="1"/>
    <col min="13784" max="13784" width="3" style="441" customWidth="1"/>
    <col min="13785" max="13787" width="2" style="441" customWidth="1"/>
    <col min="13788" max="13788" width="2.85546875" style="441" customWidth="1"/>
    <col min="13789" max="13789" width="3" style="441" customWidth="1"/>
    <col min="13790" max="13790" width="2.7109375" style="441" customWidth="1"/>
    <col min="13791" max="13791" width="2.42578125" style="441" customWidth="1"/>
    <col min="13792" max="13792" width="3.28515625" style="441" customWidth="1"/>
    <col min="13793" max="13793" width="3.5703125" style="441" customWidth="1"/>
    <col min="13794" max="13794" width="4" style="441" customWidth="1"/>
    <col min="13795" max="13795" width="3.42578125" style="441" customWidth="1"/>
    <col min="13796" max="13796" width="3" style="441" customWidth="1"/>
    <col min="13797" max="14030" width="11.42578125" style="441"/>
    <col min="14031" max="14031" width="44.42578125" style="441" customWidth="1"/>
    <col min="14032" max="14032" width="13" style="441" customWidth="1"/>
    <col min="14033" max="14038" width="2" style="441" customWidth="1"/>
    <col min="14039" max="14039" width="2.42578125" style="441" customWidth="1"/>
    <col min="14040" max="14040" width="3" style="441" customWidth="1"/>
    <col min="14041" max="14043" width="2" style="441" customWidth="1"/>
    <col min="14044" max="14044" width="2.85546875" style="441" customWidth="1"/>
    <col min="14045" max="14045" width="3" style="441" customWidth="1"/>
    <col min="14046" max="14046" width="2.7109375" style="441" customWidth="1"/>
    <col min="14047" max="14047" width="2.42578125" style="441" customWidth="1"/>
    <col min="14048" max="14048" width="3.28515625" style="441" customWidth="1"/>
    <col min="14049" max="14049" width="3.5703125" style="441" customWidth="1"/>
    <col min="14050" max="14050" width="4" style="441" customWidth="1"/>
    <col min="14051" max="14051" width="3.42578125" style="441" customWidth="1"/>
    <col min="14052" max="14052" width="3" style="441" customWidth="1"/>
    <col min="14053" max="14286" width="11.42578125" style="441"/>
    <col min="14287" max="14287" width="44.42578125" style="441" customWidth="1"/>
    <col min="14288" max="14288" width="13" style="441" customWidth="1"/>
    <col min="14289" max="14294" width="2" style="441" customWidth="1"/>
    <col min="14295" max="14295" width="2.42578125" style="441" customWidth="1"/>
    <col min="14296" max="14296" width="3" style="441" customWidth="1"/>
    <col min="14297" max="14299" width="2" style="441" customWidth="1"/>
    <col min="14300" max="14300" width="2.85546875" style="441" customWidth="1"/>
    <col min="14301" max="14301" width="3" style="441" customWidth="1"/>
    <col min="14302" max="14302" width="2.7109375" style="441" customWidth="1"/>
    <col min="14303" max="14303" width="2.42578125" style="441" customWidth="1"/>
    <col min="14304" max="14304" width="3.28515625" style="441" customWidth="1"/>
    <col min="14305" max="14305" width="3.5703125" style="441" customWidth="1"/>
    <col min="14306" max="14306" width="4" style="441" customWidth="1"/>
    <col min="14307" max="14307" width="3.42578125" style="441" customWidth="1"/>
    <col min="14308" max="14308" width="3" style="441" customWidth="1"/>
    <col min="14309" max="14542" width="11.42578125" style="441"/>
    <col min="14543" max="14543" width="44.42578125" style="441" customWidth="1"/>
    <col min="14544" max="14544" width="13" style="441" customWidth="1"/>
    <col min="14545" max="14550" width="2" style="441" customWidth="1"/>
    <col min="14551" max="14551" width="2.42578125" style="441" customWidth="1"/>
    <col min="14552" max="14552" width="3" style="441" customWidth="1"/>
    <col min="14553" max="14555" width="2" style="441" customWidth="1"/>
    <col min="14556" max="14556" width="2.85546875" style="441" customWidth="1"/>
    <col min="14557" max="14557" width="3" style="441" customWidth="1"/>
    <col min="14558" max="14558" width="2.7109375" style="441" customWidth="1"/>
    <col min="14559" max="14559" width="2.42578125" style="441" customWidth="1"/>
    <col min="14560" max="14560" width="3.28515625" style="441" customWidth="1"/>
    <col min="14561" max="14561" width="3.5703125" style="441" customWidth="1"/>
    <col min="14562" max="14562" width="4" style="441" customWidth="1"/>
    <col min="14563" max="14563" width="3.42578125" style="441" customWidth="1"/>
    <col min="14564" max="14564" width="3" style="441" customWidth="1"/>
    <col min="14565" max="14798" width="11.42578125" style="441"/>
    <col min="14799" max="14799" width="44.42578125" style="441" customWidth="1"/>
    <col min="14800" max="14800" width="13" style="441" customWidth="1"/>
    <col min="14801" max="14806" width="2" style="441" customWidth="1"/>
    <col min="14807" max="14807" width="2.42578125" style="441" customWidth="1"/>
    <col min="14808" max="14808" width="3" style="441" customWidth="1"/>
    <col min="14809" max="14811" width="2" style="441" customWidth="1"/>
    <col min="14812" max="14812" width="2.85546875" style="441" customWidth="1"/>
    <col min="14813" max="14813" width="3" style="441" customWidth="1"/>
    <col min="14814" max="14814" width="2.7109375" style="441" customWidth="1"/>
    <col min="14815" max="14815" width="2.42578125" style="441" customWidth="1"/>
    <col min="14816" max="14816" width="3.28515625" style="441" customWidth="1"/>
    <col min="14817" max="14817" width="3.5703125" style="441" customWidth="1"/>
    <col min="14818" max="14818" width="4" style="441" customWidth="1"/>
    <col min="14819" max="14819" width="3.42578125" style="441" customWidth="1"/>
    <col min="14820" max="14820" width="3" style="441" customWidth="1"/>
    <col min="14821" max="15054" width="11.42578125" style="441"/>
    <col min="15055" max="15055" width="44.42578125" style="441" customWidth="1"/>
    <col min="15056" max="15056" width="13" style="441" customWidth="1"/>
    <col min="15057" max="15062" width="2" style="441" customWidth="1"/>
    <col min="15063" max="15063" width="2.42578125" style="441" customWidth="1"/>
    <col min="15064" max="15064" width="3" style="441" customWidth="1"/>
    <col min="15065" max="15067" width="2" style="441" customWidth="1"/>
    <col min="15068" max="15068" width="2.85546875" style="441" customWidth="1"/>
    <col min="15069" max="15069" width="3" style="441" customWidth="1"/>
    <col min="15070" max="15070" width="2.7109375" style="441" customWidth="1"/>
    <col min="15071" max="15071" width="2.42578125" style="441" customWidth="1"/>
    <col min="15072" max="15072" width="3.28515625" style="441" customWidth="1"/>
    <col min="15073" max="15073" width="3.5703125" style="441" customWidth="1"/>
    <col min="15074" max="15074" width="4" style="441" customWidth="1"/>
    <col min="15075" max="15075" width="3.42578125" style="441" customWidth="1"/>
    <col min="15076" max="15076" width="3" style="441" customWidth="1"/>
    <col min="15077" max="15310" width="11.42578125" style="441"/>
    <col min="15311" max="15311" width="44.42578125" style="441" customWidth="1"/>
    <col min="15312" max="15312" width="13" style="441" customWidth="1"/>
    <col min="15313" max="15318" width="2" style="441" customWidth="1"/>
    <col min="15319" max="15319" width="2.42578125" style="441" customWidth="1"/>
    <col min="15320" max="15320" width="3" style="441" customWidth="1"/>
    <col min="15321" max="15323" width="2" style="441" customWidth="1"/>
    <col min="15324" max="15324" width="2.85546875" style="441" customWidth="1"/>
    <col min="15325" max="15325" width="3" style="441" customWidth="1"/>
    <col min="15326" max="15326" width="2.7109375" style="441" customWidth="1"/>
    <col min="15327" max="15327" width="2.42578125" style="441" customWidth="1"/>
    <col min="15328" max="15328" width="3.28515625" style="441" customWidth="1"/>
    <col min="15329" max="15329" width="3.5703125" style="441" customWidth="1"/>
    <col min="15330" max="15330" width="4" style="441" customWidth="1"/>
    <col min="15331" max="15331" width="3.42578125" style="441" customWidth="1"/>
    <col min="15332" max="15332" width="3" style="441" customWidth="1"/>
    <col min="15333" max="15566" width="11.42578125" style="441"/>
    <col min="15567" max="15567" width="44.42578125" style="441" customWidth="1"/>
    <col min="15568" max="15568" width="13" style="441" customWidth="1"/>
    <col min="15569" max="15574" width="2" style="441" customWidth="1"/>
    <col min="15575" max="15575" width="2.42578125" style="441" customWidth="1"/>
    <col min="15576" max="15576" width="3" style="441" customWidth="1"/>
    <col min="15577" max="15579" width="2" style="441" customWidth="1"/>
    <col min="15580" max="15580" width="2.85546875" style="441" customWidth="1"/>
    <col min="15581" max="15581" width="3" style="441" customWidth="1"/>
    <col min="15582" max="15582" width="2.7109375" style="441" customWidth="1"/>
    <col min="15583" max="15583" width="2.42578125" style="441" customWidth="1"/>
    <col min="15584" max="15584" width="3.28515625" style="441" customWidth="1"/>
    <col min="15585" max="15585" width="3.5703125" style="441" customWidth="1"/>
    <col min="15586" max="15586" width="4" style="441" customWidth="1"/>
    <col min="15587" max="15587" width="3.42578125" style="441" customWidth="1"/>
    <col min="15588" max="15588" width="3" style="441" customWidth="1"/>
    <col min="15589" max="15822" width="11.42578125" style="441"/>
    <col min="15823" max="15823" width="44.42578125" style="441" customWidth="1"/>
    <col min="15824" max="15824" width="13" style="441" customWidth="1"/>
    <col min="15825" max="15830" width="2" style="441" customWidth="1"/>
    <col min="15831" max="15831" width="2.42578125" style="441" customWidth="1"/>
    <col min="15832" max="15832" width="3" style="441" customWidth="1"/>
    <col min="15833" max="15835" width="2" style="441" customWidth="1"/>
    <col min="15836" max="15836" width="2.85546875" style="441" customWidth="1"/>
    <col min="15837" max="15837" width="3" style="441" customWidth="1"/>
    <col min="15838" max="15838" width="2.7109375" style="441" customWidth="1"/>
    <col min="15839" max="15839" width="2.42578125" style="441" customWidth="1"/>
    <col min="15840" max="15840" width="3.28515625" style="441" customWidth="1"/>
    <col min="15841" max="15841" width="3.5703125" style="441" customWidth="1"/>
    <col min="15842" max="15842" width="4" style="441" customWidth="1"/>
    <col min="15843" max="15843" width="3.42578125" style="441" customWidth="1"/>
    <col min="15844" max="15844" width="3" style="441" customWidth="1"/>
    <col min="15845" max="16078" width="11.42578125" style="441"/>
    <col min="16079" max="16079" width="44.42578125" style="441" customWidth="1"/>
    <col min="16080" max="16080" width="13" style="441" customWidth="1"/>
    <col min="16081" max="16086" width="2" style="441" customWidth="1"/>
    <col min="16087" max="16087" width="2.42578125" style="441" customWidth="1"/>
    <col min="16088" max="16088" width="3" style="441" customWidth="1"/>
    <col min="16089" max="16091" width="2" style="441" customWidth="1"/>
    <col min="16092" max="16092" width="2.85546875" style="441" customWidth="1"/>
    <col min="16093" max="16093" width="3" style="441" customWidth="1"/>
    <col min="16094" max="16094" width="2.7109375" style="441" customWidth="1"/>
    <col min="16095" max="16095" width="2.42578125" style="441" customWidth="1"/>
    <col min="16096" max="16096" width="3.28515625" style="441" customWidth="1"/>
    <col min="16097" max="16097" width="3.5703125" style="441" customWidth="1"/>
    <col min="16098" max="16098" width="4" style="441" customWidth="1"/>
    <col min="16099" max="16099" width="3.42578125" style="441" customWidth="1"/>
    <col min="16100" max="16100" width="3" style="441" customWidth="1"/>
    <col min="16101" max="16384" width="11.42578125" style="441"/>
  </cols>
  <sheetData>
    <row r="1" spans="1:26" ht="15" x14ac:dyDescent="0.25">
      <c r="A1" s="267" t="s">
        <v>379</v>
      </c>
    </row>
    <row r="2" spans="1:26" ht="15" x14ac:dyDescent="0.25">
      <c r="A2" s="267" t="s">
        <v>10</v>
      </c>
    </row>
    <row r="3" spans="1:26" ht="15" x14ac:dyDescent="0.25">
      <c r="A3" s="267"/>
    </row>
    <row r="4" spans="1:26" ht="15" x14ac:dyDescent="0.25">
      <c r="A4" s="267" t="str">
        <f>+'4. CC D'!A4</f>
        <v>Operación: Programa de Mejoramiento y conservación de corredores viales</v>
      </c>
    </row>
    <row r="5" spans="1:26" ht="15" x14ac:dyDescent="0.25">
      <c r="A5" s="267"/>
    </row>
    <row r="6" spans="1:26" ht="15" x14ac:dyDescent="0.25">
      <c r="A6" s="267" t="s">
        <v>396</v>
      </c>
    </row>
    <row r="7" spans="1:26" ht="15" x14ac:dyDescent="0.25">
      <c r="A7" s="449"/>
    </row>
    <row r="8" spans="1:26" s="452" customFormat="1" x14ac:dyDescent="0.2">
      <c r="A8" s="450" t="s">
        <v>380</v>
      </c>
      <c r="B8" s="451" t="s">
        <v>381</v>
      </c>
      <c r="C8" s="497" t="s">
        <v>382</v>
      </c>
      <c r="D8" s="497"/>
      <c r="E8" s="497"/>
      <c r="F8" s="497"/>
      <c r="G8" s="497" t="s">
        <v>383</v>
      </c>
      <c r="H8" s="497"/>
      <c r="I8" s="497"/>
      <c r="J8" s="497"/>
      <c r="K8" s="497"/>
      <c r="L8" s="497" t="s">
        <v>384</v>
      </c>
      <c r="M8" s="497"/>
      <c r="N8" s="498" t="s">
        <v>385</v>
      </c>
      <c r="O8" s="496" t="s">
        <v>25</v>
      </c>
      <c r="P8" s="496"/>
      <c r="Q8" s="496"/>
      <c r="R8" s="496" t="s">
        <v>26</v>
      </c>
      <c r="S8" s="496"/>
      <c r="T8" s="496"/>
      <c r="U8" s="496" t="s">
        <v>27</v>
      </c>
      <c r="V8" s="496"/>
      <c r="W8" s="496"/>
      <c r="X8" s="496" t="s">
        <v>28</v>
      </c>
      <c r="Y8" s="496"/>
      <c r="Z8" s="496"/>
    </row>
    <row r="9" spans="1:26" s="452" customFormat="1" ht="25.5" x14ac:dyDescent="0.2">
      <c r="A9" s="450" t="s">
        <v>382</v>
      </c>
      <c r="B9" s="453" t="str">
        <f>+'6. PF M BID'!B11</f>
        <v>Programa de Mejoramiento y conservación de Corredores Viales</v>
      </c>
      <c r="C9" s="454" t="s">
        <v>22</v>
      </c>
      <c r="D9" s="454" t="s">
        <v>23</v>
      </c>
      <c r="E9" s="455" t="s">
        <v>386</v>
      </c>
      <c r="F9" s="454" t="s">
        <v>387</v>
      </c>
      <c r="G9" s="454" t="s">
        <v>388</v>
      </c>
      <c r="H9" s="454" t="s">
        <v>23</v>
      </c>
      <c r="I9" s="454" t="s">
        <v>389</v>
      </c>
      <c r="J9" s="454" t="s">
        <v>390</v>
      </c>
      <c r="K9" s="456" t="s">
        <v>391</v>
      </c>
      <c r="L9" s="454" t="s">
        <v>392</v>
      </c>
      <c r="M9" s="454" t="s">
        <v>393</v>
      </c>
      <c r="N9" s="499"/>
      <c r="O9" s="457">
        <v>1</v>
      </c>
      <c r="P9" s="457">
        <v>2</v>
      </c>
      <c r="Q9" s="457">
        <v>3</v>
      </c>
      <c r="R9" s="457">
        <v>4</v>
      </c>
      <c r="S9" s="457">
        <v>5</v>
      </c>
      <c r="T9" s="457">
        <v>6</v>
      </c>
      <c r="U9" s="457">
        <v>7</v>
      </c>
      <c r="V9" s="457">
        <v>8</v>
      </c>
      <c r="W9" s="457">
        <v>9</v>
      </c>
      <c r="X9" s="457">
        <v>10</v>
      </c>
      <c r="Y9" s="457">
        <v>11</v>
      </c>
      <c r="Z9" s="457">
        <v>12</v>
      </c>
    </row>
    <row r="10" spans="1:26" x14ac:dyDescent="0.2">
      <c r="A10" s="458" t="str">
        <f>+'6. PF M BID'!A12</f>
        <v>1.</v>
      </c>
      <c r="B10" s="459" t="str">
        <f>+'6. PF M BID'!B12</f>
        <v>Componente Unico Obras civiles</v>
      </c>
      <c r="C10" s="460"/>
      <c r="D10" s="460"/>
      <c r="E10" s="83">
        <f>'[4]3. PEP'!G26</f>
        <v>58220000</v>
      </c>
      <c r="F10" s="460"/>
      <c r="G10" s="460"/>
      <c r="H10" s="460"/>
      <c r="I10" s="461"/>
      <c r="J10" s="460"/>
      <c r="K10" s="83">
        <f>+'7. PF A BID'!D9</f>
        <v>7730000</v>
      </c>
      <c r="L10" s="460"/>
      <c r="M10" s="460"/>
      <c r="N10" s="460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x14ac:dyDescent="0.2">
      <c r="A11" s="462">
        <f>+'6. PF M BID'!A13</f>
        <v>1.1000000000000001</v>
      </c>
      <c r="B11" s="84" t="str">
        <f>+'6. PF M BID'!B13</f>
        <v>Producto 1: 117.5 km de carreteras mejoradas y rehabilitadas</v>
      </c>
      <c r="C11" s="136"/>
      <c r="D11" s="136"/>
      <c r="E11" s="87">
        <f>'[4]3. PEP'!G27</f>
        <v>42340000</v>
      </c>
      <c r="F11" s="136"/>
      <c r="G11" s="136"/>
      <c r="H11" s="136"/>
      <c r="I11" s="463"/>
      <c r="J11" s="136"/>
      <c r="K11" s="87">
        <f>+'7. PF A BID'!D10</f>
        <v>7730000</v>
      </c>
      <c r="L11" s="136"/>
      <c r="M11" s="136"/>
      <c r="N11" s="136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25.5" customHeight="1" x14ac:dyDescent="0.2">
      <c r="A12" s="464" t="str">
        <f>+'6. PF M BID'!A14</f>
        <v>1.1.1</v>
      </c>
      <c r="B12" s="89" t="str">
        <f>+'6. PF M BID'!B14</f>
        <v>Contratación de Firma Constructora para el mejoramiento del tramo Ñumi-San Juan Nepomuceno (65,5 Km)</v>
      </c>
      <c r="C12" s="465" t="str">
        <f>'[4]3. PEP'!D28</f>
        <v>T2 - Año 1</v>
      </c>
      <c r="D12" s="465" t="str">
        <f>'[4]3. PEP'!F28</f>
        <v>T3 - Año 3</v>
      </c>
      <c r="E12" s="91">
        <f>'[4]3. PEP'!G28</f>
        <v>13200000</v>
      </c>
      <c r="F12" s="465"/>
      <c r="G12" s="465" t="str">
        <f t="shared" ref="G12:H30" si="0">C12</f>
        <v>T2 - Año 1</v>
      </c>
      <c r="H12" s="465" t="str">
        <f t="shared" si="0"/>
        <v>T3 - Año 3</v>
      </c>
      <c r="I12" s="466" t="s">
        <v>397</v>
      </c>
      <c r="J12" s="465" t="s">
        <v>398</v>
      </c>
      <c r="K12" s="91">
        <f>+'7. PF A BID'!D11</f>
        <v>7510000</v>
      </c>
      <c r="L12" s="465"/>
      <c r="M12" s="465"/>
      <c r="N12" s="465"/>
      <c r="O12" s="91"/>
      <c r="P12" s="91"/>
      <c r="Q12" s="92"/>
      <c r="R12" s="92"/>
      <c r="S12" s="93"/>
      <c r="T12" s="93"/>
      <c r="U12" s="93"/>
      <c r="V12" s="93"/>
      <c r="W12" s="93"/>
      <c r="X12" s="93"/>
      <c r="Y12" s="93"/>
      <c r="Z12" s="94">
        <v>1</v>
      </c>
    </row>
    <row r="13" spans="1:26" ht="27.75" hidden="1" customHeight="1" x14ac:dyDescent="0.2">
      <c r="A13" s="464" t="str">
        <f>+'6. PF M BID'!A15</f>
        <v>1.1.2</v>
      </c>
      <c r="B13" s="89" t="str">
        <f>+'6. PF M BID'!B15</f>
        <v>Contratación de Firma Constructora para el mejoramiento y rehabilitación  del tramo Empalme R6 - Empalme corredor de Exportación (52 Km)</v>
      </c>
      <c r="C13" s="465" t="str">
        <f>'[4]3. PEP'!D29</f>
        <v>T2 - Año 2</v>
      </c>
      <c r="D13" s="465" t="str">
        <f>'[4]3. PEP'!F29</f>
        <v>T3 - Año 4</v>
      </c>
      <c r="E13" s="91">
        <f>'[4]3. PEP'!G29</f>
        <v>24800000</v>
      </c>
      <c r="F13" s="465"/>
      <c r="G13" s="465" t="str">
        <f t="shared" si="0"/>
        <v>T2 - Año 2</v>
      </c>
      <c r="H13" s="465" t="str">
        <f t="shared" si="0"/>
        <v>T3 - Año 4</v>
      </c>
      <c r="I13" s="466"/>
      <c r="J13" s="465"/>
      <c r="K13" s="91">
        <f>+'7. PF A BID'!D12</f>
        <v>0</v>
      </c>
      <c r="L13" s="465"/>
      <c r="M13" s="465"/>
      <c r="N13" s="465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38.25" x14ac:dyDescent="0.2">
      <c r="A14" s="464" t="str">
        <f>+'6. PF M BID'!A16</f>
        <v>1.1.3</v>
      </c>
      <c r="B14" s="89" t="str">
        <f>+'6. PF M BID'!B16</f>
        <v>Contratación de Firma Consultora para Fiscalización del Mejoramiento del tramo Ñumi-San Juan Nepomuceno (65.5 Km)</v>
      </c>
      <c r="C14" s="465" t="str">
        <f>'[4]3. PEP'!D30</f>
        <v>T2 - Año 1</v>
      </c>
      <c r="D14" s="465" t="str">
        <f>'[4]3. PEP'!F30</f>
        <v>T3 - Año 3</v>
      </c>
      <c r="E14" s="91">
        <f>'[4]3. PEP'!G30</f>
        <v>875000</v>
      </c>
      <c r="F14" s="465"/>
      <c r="G14" s="465" t="str">
        <f>C14</f>
        <v>T2 - Año 1</v>
      </c>
      <c r="H14" s="465" t="str">
        <f>D14</f>
        <v>T3 - Año 3</v>
      </c>
      <c r="I14" s="466" t="s">
        <v>397</v>
      </c>
      <c r="J14" s="465" t="s">
        <v>398</v>
      </c>
      <c r="K14" s="91">
        <f>+'7. PF A BID'!D13</f>
        <v>220000</v>
      </c>
      <c r="L14" s="465"/>
      <c r="M14" s="465"/>
      <c r="N14" s="465"/>
      <c r="O14" s="92"/>
      <c r="P14" s="92"/>
      <c r="Q14" s="92"/>
      <c r="R14" s="93"/>
      <c r="S14" s="93"/>
      <c r="T14" s="93"/>
      <c r="U14" s="93"/>
      <c r="V14" s="93"/>
      <c r="W14" s="93"/>
      <c r="X14" s="94">
        <v>1</v>
      </c>
      <c r="Y14" s="94">
        <v>2</v>
      </c>
      <c r="Z14" s="94">
        <v>3</v>
      </c>
    </row>
    <row r="15" spans="1:26" ht="25.5" hidden="1" x14ac:dyDescent="0.2">
      <c r="A15" s="464" t="str">
        <f>+'6. PF M BID'!A17</f>
        <v>1.1.4</v>
      </c>
      <c r="B15" s="89" t="str">
        <f>+'6. PF M BID'!B17</f>
        <v>Contratación de Firma Consultora para Fiscalización de obra de mejoramiento y rehabilitación del tramo Empalme R6 - Empalme Corredor de Exportación (52 Km)</v>
      </c>
      <c r="C15" s="465" t="str">
        <f>'[4]3. PEP'!D32</f>
        <v>T2 - Año 1</v>
      </c>
      <c r="D15" s="465" t="str">
        <f>'[4]3. PEP'!F32</f>
        <v>T3 - Año 2</v>
      </c>
      <c r="E15" s="91">
        <f>'[4]3. PEP'!G32</f>
        <v>1820000</v>
      </c>
      <c r="F15" s="465"/>
      <c r="G15" s="465" t="str">
        <f>C15</f>
        <v>T2 - Año 1</v>
      </c>
      <c r="H15" s="465" t="str">
        <f t="shared" ref="H15" si="1">D15</f>
        <v>T3 - Año 2</v>
      </c>
      <c r="I15" s="466"/>
      <c r="J15" s="465"/>
      <c r="K15" s="91">
        <f>+'7. PF A BID'!D14</f>
        <v>0</v>
      </c>
      <c r="L15" s="465"/>
      <c r="M15" s="465"/>
      <c r="N15" s="465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x14ac:dyDescent="0.2">
      <c r="A16" s="462" t="str">
        <f>+'6. PF M BID'!A18</f>
        <v>1.2</v>
      </c>
      <c r="B16" s="84" t="str">
        <f>+'6. PF M BID'!B18</f>
        <v>Producto 2: 267 km de carretera conservados</v>
      </c>
      <c r="C16" s="136"/>
      <c r="D16" s="136"/>
      <c r="E16" s="100">
        <f>'[4]3. PEP'!G33</f>
        <v>4000000</v>
      </c>
      <c r="F16" s="136"/>
      <c r="G16" s="136"/>
      <c r="H16" s="136"/>
      <c r="I16" s="463"/>
      <c r="J16" s="136"/>
      <c r="K16" s="100">
        <f>+'7. PF A BID'!D15</f>
        <v>0</v>
      </c>
      <c r="L16" s="136"/>
      <c r="M16" s="136"/>
      <c r="N16" s="136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ht="25.5" hidden="1" x14ac:dyDescent="0.2">
      <c r="A17" s="464" t="str">
        <f>+'6. PF M BID'!A19</f>
        <v>1.2.1</v>
      </c>
      <c r="B17" s="89" t="str">
        <f>+'6. PF M BID'!B19</f>
        <v>Contratación de Firma Constructora para Obra de Conservación del Tramo Ñumi - Empalme R6  (147 km). Crema 1.1.1</v>
      </c>
      <c r="C17" s="465" t="str">
        <f>'[4]3. PEP'!D34</f>
        <v>T1 - Año 1</v>
      </c>
      <c r="D17" s="465" t="str">
        <f>'[4]3. PEP'!F34</f>
        <v>T4 - Año 5</v>
      </c>
      <c r="E17" s="91">
        <f>'[4]3. PEP'!G34</f>
        <v>764080</v>
      </c>
      <c r="F17" s="465"/>
      <c r="G17" s="465" t="str">
        <f t="shared" si="0"/>
        <v>T1 - Año 1</v>
      </c>
      <c r="H17" s="465" t="str">
        <f t="shared" si="0"/>
        <v>T4 - Año 5</v>
      </c>
      <c r="I17" s="466"/>
      <c r="J17" s="465"/>
      <c r="K17" s="91">
        <f>+'7. PF A BID'!D16</f>
        <v>0</v>
      </c>
      <c r="L17" s="465"/>
      <c r="M17" s="465"/>
      <c r="N17" s="465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25.5" x14ac:dyDescent="0.2">
      <c r="A18" s="464" t="str">
        <f>+'6. PF M BID'!A20</f>
        <v>1.2.2</v>
      </c>
      <c r="B18" s="89" t="str">
        <f>+'6. PF M BID'!B20</f>
        <v>Contratación de Firma Constructora para Obra de Conservación Ruta 13: Caaguazu- Empalme Ruta 10 (120 km)</v>
      </c>
      <c r="C18" s="465" t="e">
        <f>'[4]3. PEP'!#REF!</f>
        <v>#REF!</v>
      </c>
      <c r="D18" s="465" t="e">
        <f>'[4]3. PEP'!#REF!</f>
        <v>#REF!</v>
      </c>
      <c r="E18" s="91" t="e">
        <f>'[4]3. PEP'!#REF!</f>
        <v>#REF!</v>
      </c>
      <c r="F18" s="465"/>
      <c r="G18" s="465" t="e">
        <f t="shared" si="0"/>
        <v>#REF!</v>
      </c>
      <c r="H18" s="465" t="e">
        <f t="shared" si="0"/>
        <v>#REF!</v>
      </c>
      <c r="I18" s="466" t="s">
        <v>399</v>
      </c>
      <c r="J18" s="465" t="s">
        <v>394</v>
      </c>
      <c r="K18" s="91">
        <f>+'7. PF A BID'!D17</f>
        <v>0</v>
      </c>
      <c r="L18" s="465"/>
      <c r="M18" s="465"/>
      <c r="N18" s="465"/>
      <c r="O18" s="101"/>
      <c r="P18" s="101"/>
      <c r="Q18" s="101"/>
      <c r="R18" s="101"/>
      <c r="S18" s="92"/>
      <c r="T18" s="93"/>
      <c r="U18" s="93"/>
      <c r="V18" s="93"/>
      <c r="W18" s="93"/>
      <c r="X18" s="93"/>
      <c r="Y18" s="93"/>
      <c r="Z18" s="93"/>
    </row>
    <row r="19" spans="1:26" ht="25.5" hidden="1" x14ac:dyDescent="0.2">
      <c r="A19" s="464" t="str">
        <f>+'6. PF M BID'!A21</f>
        <v>1.2.3</v>
      </c>
      <c r="B19" s="89" t="str">
        <f>+'6. PF M BID'!B21</f>
        <v>Contratación de Firma Consultora para Fiscalización de Obra de Conservación del Tramo Ñumi- Empalme R6 (147 km)</v>
      </c>
      <c r="C19" s="465"/>
      <c r="D19" s="465"/>
      <c r="E19" s="91"/>
      <c r="F19" s="465"/>
      <c r="G19" s="465"/>
      <c r="H19" s="465"/>
      <c r="I19" s="466"/>
      <c r="J19" s="465"/>
      <c r="K19" s="91">
        <f>+'7. PF A BID'!D18</f>
        <v>0</v>
      </c>
      <c r="L19" s="465"/>
      <c r="M19" s="465"/>
      <c r="N19" s="465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27" customHeight="1" x14ac:dyDescent="0.2">
      <c r="A20" s="464" t="str">
        <f>+'6. PF M BID'!A22</f>
        <v>1.2.4</v>
      </c>
      <c r="B20" s="89" t="str">
        <f>+'6. PF M BID'!B22</f>
        <v>Contratación de Firma Consultora para Fiscalización de Obra de Conservación Ruta 13: Caaguazu - Empalme Ruta 10 (120 km)</v>
      </c>
      <c r="C20" s="465"/>
      <c r="D20" s="465"/>
      <c r="E20" s="91"/>
      <c r="F20" s="465"/>
      <c r="G20" s="465"/>
      <c r="H20" s="465"/>
      <c r="I20" s="466" t="s">
        <v>399</v>
      </c>
      <c r="J20" s="465" t="s">
        <v>394</v>
      </c>
      <c r="K20" s="91">
        <f>+'7. PF A BID'!D19</f>
        <v>0</v>
      </c>
      <c r="L20" s="465"/>
      <c r="M20" s="465"/>
      <c r="N20" s="465"/>
      <c r="O20" s="101"/>
      <c r="P20" s="101"/>
      <c r="Q20" s="101"/>
      <c r="R20" s="101"/>
      <c r="S20" s="92"/>
      <c r="T20" s="93"/>
      <c r="U20" s="93"/>
      <c r="V20" s="93"/>
      <c r="W20" s="93"/>
      <c r="X20" s="93"/>
      <c r="Y20" s="93"/>
      <c r="Z20" s="93"/>
    </row>
    <row r="21" spans="1:26" ht="20.25" customHeight="1" x14ac:dyDescent="0.2">
      <c r="A21" s="130">
        <v>2</v>
      </c>
      <c r="B21" s="459" t="str">
        <f>+'6. PF M BID'!B23</f>
        <v>Otros Costos</v>
      </c>
      <c r="C21" s="465"/>
      <c r="D21" s="465"/>
      <c r="E21" s="91"/>
      <c r="F21" s="465"/>
      <c r="G21" s="465"/>
      <c r="H21" s="465"/>
      <c r="I21" s="83"/>
      <c r="J21" s="83"/>
      <c r="K21" s="83">
        <f>+'7. PF A BID'!D20</f>
        <v>471428.57142857142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18" customHeight="1" x14ac:dyDescent="0.2">
      <c r="A22" s="462">
        <f>+'6. PF M BID'!A24</f>
        <v>2.1</v>
      </c>
      <c r="B22" s="84" t="str">
        <f>+'6. PF M BID'!B24</f>
        <v>Administración del Programa</v>
      </c>
      <c r="C22" s="465"/>
      <c r="D22" s="465"/>
      <c r="E22" s="91"/>
      <c r="F22" s="465"/>
      <c r="G22" s="465"/>
      <c r="H22" s="465"/>
      <c r="I22" s="463"/>
      <c r="J22" s="136"/>
      <c r="K22" s="100">
        <f>+'7. PF A BID'!D21</f>
        <v>471428.57142857142</v>
      </c>
      <c r="L22" s="136"/>
      <c r="M22" s="136"/>
      <c r="N22" s="136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25.5" x14ac:dyDescent="0.2">
      <c r="A23" s="464" t="str">
        <f>+'6. PF M BID'!A25</f>
        <v>2.1.1</v>
      </c>
      <c r="B23" s="89" t="str">
        <f>+'6. PF M BID'!B25</f>
        <v xml:space="preserve">Contratación de la ECATEF para apoyo en la ejecución del Programa </v>
      </c>
      <c r="C23" s="136"/>
      <c r="D23" s="136"/>
      <c r="E23" s="100">
        <f>'[4]3. PEP'!G40</f>
        <v>11660000</v>
      </c>
      <c r="F23" s="136"/>
      <c r="G23" s="136"/>
      <c r="H23" s="136"/>
      <c r="I23" s="466" t="s">
        <v>400</v>
      </c>
      <c r="J23" s="465" t="s">
        <v>395</v>
      </c>
      <c r="K23" s="91">
        <f>+'7. PF A BID'!D22</f>
        <v>471428.57142857142</v>
      </c>
      <c r="L23" s="465"/>
      <c r="M23" s="465"/>
      <c r="N23" s="465"/>
      <c r="O23" s="107">
        <v>1</v>
      </c>
      <c r="P23" s="107">
        <v>2</v>
      </c>
      <c r="Q23" s="107">
        <v>3</v>
      </c>
      <c r="R23" s="107">
        <v>4</v>
      </c>
      <c r="S23" s="107">
        <v>5</v>
      </c>
      <c r="T23" s="107">
        <v>6</v>
      </c>
      <c r="U23" s="107">
        <v>7</v>
      </c>
      <c r="V23" s="107">
        <v>8</v>
      </c>
      <c r="W23" s="107">
        <v>9</v>
      </c>
      <c r="X23" s="107">
        <v>10</v>
      </c>
      <c r="Y23" s="107">
        <v>11</v>
      </c>
      <c r="Z23" s="107">
        <v>12</v>
      </c>
    </row>
    <row r="24" spans="1:26" x14ac:dyDescent="0.2">
      <c r="A24" s="462">
        <f>+'6. PF M BID'!A26</f>
        <v>2.2000000000000002</v>
      </c>
      <c r="B24" s="84" t="str">
        <f>+'6. PF M BID'!B26</f>
        <v>Auditoria, Monitoreo y Evaluación desarrollados</v>
      </c>
      <c r="C24" s="90" t="str">
        <f>'[4]3. PEP'!D41</f>
        <v>T2 - Año 1</v>
      </c>
      <c r="D24" s="90" t="str">
        <f>'[4]3. PEP'!F41</f>
        <v>T1 - Año 3</v>
      </c>
      <c r="E24" s="91">
        <f>'[4]3. PEP'!G41</f>
        <v>6885000</v>
      </c>
      <c r="F24" s="90"/>
      <c r="G24" s="90" t="str">
        <f t="shared" si="0"/>
        <v>T2 - Año 1</v>
      </c>
      <c r="H24" s="90" t="str">
        <f t="shared" si="0"/>
        <v>T1 - Año 3</v>
      </c>
      <c r="I24" s="463"/>
      <c r="J24" s="136"/>
      <c r="K24" s="100">
        <f>+'7. PF A BID'!D23</f>
        <v>0</v>
      </c>
      <c r="L24" s="136"/>
      <c r="M24" s="136"/>
      <c r="N24" s="136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ht="38.25" x14ac:dyDescent="0.2">
      <c r="A25" s="464" t="str">
        <f>+'6. PF M BID'!A27</f>
        <v>2.2.1</v>
      </c>
      <c r="B25" s="89" t="str">
        <f>+'6. PF M BID'!B27</f>
        <v>Contratación de Firma Consultora para la Auditoria Externa del Programa PR-L1105</v>
      </c>
      <c r="C25" s="90" t="str">
        <f>'[4]3. PEP'!D42</f>
        <v>T3 - Año 2</v>
      </c>
      <c r="D25" s="90" t="str">
        <f>'[4]3. PEP'!F42</f>
        <v>T4 - Año 4</v>
      </c>
      <c r="E25" s="91">
        <f>'[4]3. PEP'!G42</f>
        <v>3315000</v>
      </c>
      <c r="F25" s="90"/>
      <c r="G25" s="90" t="str">
        <f t="shared" si="0"/>
        <v>T3 - Año 2</v>
      </c>
      <c r="H25" s="90" t="str">
        <f t="shared" si="0"/>
        <v>T4 - Año 4</v>
      </c>
      <c r="I25" s="466" t="s">
        <v>397</v>
      </c>
      <c r="J25" s="465" t="s">
        <v>398</v>
      </c>
      <c r="K25" s="91">
        <f>+'7. PF A BID'!D23</f>
        <v>0</v>
      </c>
      <c r="L25" s="90"/>
      <c r="M25" s="90"/>
      <c r="N25" s="90"/>
      <c r="O25" s="109"/>
      <c r="P25" s="109"/>
      <c r="Q25" s="109"/>
      <c r="R25" s="109"/>
      <c r="S25" s="110"/>
      <c r="T25" s="110"/>
      <c r="U25" s="110"/>
      <c r="V25" s="93"/>
      <c r="W25" s="93"/>
      <c r="X25" s="93"/>
      <c r="Y25" s="94">
        <v>1</v>
      </c>
      <c r="Z25" s="94">
        <v>2</v>
      </c>
    </row>
    <row r="26" spans="1:26" ht="12" hidden="1" customHeight="1" x14ac:dyDescent="0.2">
      <c r="A26" s="464" t="str">
        <f>+'6. PF M BID'!A28</f>
        <v>2.2.2</v>
      </c>
      <c r="B26" s="468" t="str">
        <f>+'6. PF M BID'!B28</f>
        <v>Contratación de Firma Consultora para la Evaluación Final del Programa</v>
      </c>
      <c r="C26" s="465" t="str">
        <f>'[4]3. PEP'!D43</f>
        <v>T1 - Año 1</v>
      </c>
      <c r="D26" s="465" t="str">
        <f>'[4]3. PEP'!F43</f>
        <v>T1 - Año 3</v>
      </c>
      <c r="E26" s="91">
        <f>'[4]3. PEP'!G43</f>
        <v>460000</v>
      </c>
      <c r="F26" s="465"/>
      <c r="G26" s="465" t="str">
        <f>C26</f>
        <v>T1 - Año 1</v>
      </c>
      <c r="H26" s="465" t="str">
        <f>D26</f>
        <v>T1 - Año 3</v>
      </c>
      <c r="I26" s="466"/>
      <c r="J26" s="465"/>
      <c r="K26" s="91">
        <f>+'7. PF A BID'!D24</f>
        <v>0</v>
      </c>
      <c r="L26" s="465"/>
      <c r="M26" s="465"/>
      <c r="N26" s="465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spans="1:26" ht="17.25" customHeight="1" x14ac:dyDescent="0.2">
      <c r="A27" s="462">
        <f>+'6. PF M BID'!A29</f>
        <v>2.2999999999999998</v>
      </c>
      <c r="B27" s="84" t="str">
        <f>+'6. PF M BID'!B29</f>
        <v>Gestión Socio Ambiental</v>
      </c>
      <c r="C27" s="465" t="str">
        <f>'[4]3. PEP'!D44</f>
        <v>T2 - Año 2</v>
      </c>
      <c r="D27" s="465" t="str">
        <f>'[4]3. PEP'!F44</f>
        <v>T1 - Año 5</v>
      </c>
      <c r="E27" s="91">
        <f>'[4]3. PEP'!G44</f>
        <v>220000</v>
      </c>
      <c r="F27" s="465"/>
      <c r="G27" s="465" t="str">
        <f t="shared" si="0"/>
        <v>T2 - Año 2</v>
      </c>
      <c r="H27" s="465" t="str">
        <f t="shared" si="0"/>
        <v>T1 - Año 5</v>
      </c>
      <c r="I27" s="463"/>
      <c r="J27" s="136"/>
      <c r="K27" s="100">
        <f>+'7. PF A BID'!D26</f>
        <v>0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</row>
    <row r="28" spans="1:26" ht="25.5" x14ac:dyDescent="0.2">
      <c r="A28" s="464" t="str">
        <f>+'6. PF M BID'!A30</f>
        <v>2.2.1</v>
      </c>
      <c r="B28" s="89" t="str">
        <f>+'6. PF M BID'!B30</f>
        <v>Monitoreo y Evaluación Socio Ambiental</v>
      </c>
      <c r="C28" s="136"/>
      <c r="D28" s="136"/>
      <c r="E28" s="100">
        <f>'[4]3. PEP'!G46</f>
        <v>220000</v>
      </c>
      <c r="F28" s="136"/>
      <c r="G28" s="136"/>
      <c r="H28" s="136"/>
      <c r="I28" s="466" t="s">
        <v>399</v>
      </c>
      <c r="J28" s="465" t="s">
        <v>394</v>
      </c>
      <c r="K28" s="91">
        <f>+'7. PF A BID'!D27</f>
        <v>0</v>
      </c>
      <c r="L28" s="465"/>
      <c r="M28" s="465"/>
      <c r="N28" s="465"/>
      <c r="O28" s="109"/>
      <c r="P28" s="109"/>
      <c r="Q28" s="109"/>
      <c r="R28" s="109"/>
      <c r="S28" s="109"/>
      <c r="T28" s="92"/>
      <c r="U28" s="92"/>
      <c r="V28" s="92"/>
      <c r="W28" s="93"/>
      <c r="X28" s="93"/>
      <c r="Y28" s="93"/>
      <c r="Z28" s="93"/>
    </row>
    <row r="29" spans="1:26" ht="25.5" x14ac:dyDescent="0.2">
      <c r="A29" s="464" t="str">
        <f>+'6. PF M BID'!A31</f>
        <v>2.2.2</v>
      </c>
      <c r="B29" s="89" t="str">
        <f>+'6. PF M BID'!B31</f>
        <v>Plan de Gestión Socio Ambiental</v>
      </c>
      <c r="C29" s="465" t="str">
        <f>'[4]3. PEP'!D47</f>
        <v>T2 - Año 1</v>
      </c>
      <c r="D29" s="465" t="str">
        <f>'[4]3. PEP'!F47</f>
        <v>T2 - Año 4</v>
      </c>
      <c r="E29" s="91">
        <f>'[4]3. PEP'!G47</f>
        <v>90000</v>
      </c>
      <c r="F29" s="465"/>
      <c r="G29" s="465" t="str">
        <f t="shared" si="0"/>
        <v>T2 - Año 1</v>
      </c>
      <c r="H29" s="465" t="str">
        <f t="shared" si="0"/>
        <v>T2 - Año 4</v>
      </c>
      <c r="I29" s="466" t="s">
        <v>399</v>
      </c>
      <c r="J29" s="465" t="s">
        <v>394</v>
      </c>
      <c r="K29" s="91">
        <f>+'7. PF A BID'!D28</f>
        <v>0</v>
      </c>
      <c r="L29" s="465"/>
      <c r="M29" s="465"/>
      <c r="N29" s="465"/>
      <c r="O29" s="109"/>
      <c r="P29" s="109"/>
      <c r="Q29" s="92"/>
      <c r="R29" s="92"/>
      <c r="S29" s="92"/>
      <c r="T29" s="93"/>
      <c r="U29" s="93"/>
      <c r="V29" s="93"/>
      <c r="W29" s="93"/>
      <c r="X29" s="93"/>
      <c r="Y29" s="93"/>
      <c r="Z29" s="93"/>
    </row>
    <row r="30" spans="1:26" ht="14.25" hidden="1" customHeight="1" x14ac:dyDescent="0.2">
      <c r="A30" s="464" t="str">
        <f>+'6. PF M BID'!A32</f>
        <v>2.2.3</v>
      </c>
      <c r="B30" s="89" t="str">
        <f>+'6. PF M BID'!B32</f>
        <v>Pagos por Servicios Ambientales</v>
      </c>
      <c r="C30" s="465" t="str">
        <f>'[4]3. PEP'!D57</f>
        <v>T1 - Año 2</v>
      </c>
      <c r="D30" s="465" t="str">
        <f>'[4]3. PEP'!F57</f>
        <v>T3 - Año 4</v>
      </c>
      <c r="E30" s="91">
        <f>'[4]3. PEP'!G57</f>
        <v>65000</v>
      </c>
      <c r="F30" s="465"/>
      <c r="G30" s="465" t="str">
        <f t="shared" si="0"/>
        <v>T1 - Año 2</v>
      </c>
      <c r="H30" s="465" t="str">
        <f t="shared" si="0"/>
        <v>T3 - Año 4</v>
      </c>
      <c r="I30" s="466"/>
      <c r="J30" s="465"/>
      <c r="K30" s="91">
        <f>+'7. PF A BID'!D29</f>
        <v>0</v>
      </c>
      <c r="L30" s="465"/>
      <c r="M30" s="465"/>
      <c r="N30" s="465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26" x14ac:dyDescent="0.2">
      <c r="A31" s="282"/>
      <c r="B31" s="282" t="s">
        <v>247</v>
      </c>
      <c r="I31" s="282"/>
      <c r="J31" s="282"/>
      <c r="K31" s="282">
        <f>+K21+K10</f>
        <v>8201428.5714285718</v>
      </c>
      <c r="L31" s="282"/>
      <c r="M31" s="282"/>
      <c r="N31" s="282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</row>
  </sheetData>
  <mergeCells count="8">
    <mergeCell ref="U8:W8"/>
    <mergeCell ref="X8:Z8"/>
    <mergeCell ref="C8:F8"/>
    <mergeCell ref="G8:K8"/>
    <mergeCell ref="L8:M8"/>
    <mergeCell ref="N8:N9"/>
    <mergeCell ref="O8:Q8"/>
    <mergeCell ref="R8:T8"/>
  </mergeCells>
  <pageMargins left="0.31496062992125984" right="0.35433070866141736" top="0.31496062992125984" bottom="0.23622047244094491" header="0.31496062992125984" footer="0.31496062992125984"/>
  <pageSetup paperSize="9" scale="79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70"/>
  <sheetViews>
    <sheetView tabSelected="1" topLeftCell="B53" zoomScaleNormal="100" workbookViewId="0">
      <selection activeCell="C88" sqref="C88"/>
    </sheetView>
  </sheetViews>
  <sheetFormatPr defaultColWidth="9.140625" defaultRowHeight="12.75" x14ac:dyDescent="0.2"/>
  <cols>
    <col min="1" max="1" width="6" style="312" hidden="1" customWidth="1"/>
    <col min="2" max="2" width="15.5703125" style="312" customWidth="1"/>
    <col min="3" max="3" width="38.85546875" style="314" customWidth="1"/>
    <col min="4" max="4" width="15.140625" style="315" customWidth="1"/>
    <col min="5" max="5" width="18" style="312" customWidth="1"/>
    <col min="6" max="6" width="9.42578125" style="312" customWidth="1"/>
    <col min="7" max="7" width="17" style="316" customWidth="1"/>
    <col min="8" max="8" width="16.140625" style="312" customWidth="1"/>
    <col min="9" max="9" width="11" style="312" customWidth="1"/>
    <col min="10" max="10" width="12.85546875" style="312" customWidth="1"/>
    <col min="11" max="11" width="14.5703125" style="312" customWidth="1"/>
    <col min="12" max="12" width="17.85546875" style="317" customWidth="1"/>
    <col min="13" max="13" width="18.140625" style="317" customWidth="1"/>
    <col min="14" max="14" width="18.42578125" style="315" customWidth="1"/>
    <col min="15" max="15" width="34.28515625" style="312" customWidth="1"/>
    <col min="16" max="16" width="21" style="312" customWidth="1"/>
    <col min="17" max="17" width="9.140625" style="318"/>
    <col min="18" max="18" width="68.5703125" style="318" hidden="1" customWidth="1"/>
    <col min="19" max="19" width="57.42578125" style="318" hidden="1" customWidth="1"/>
    <col min="20" max="207" width="9.140625" style="318"/>
    <col min="208" max="16384" width="9.140625" style="312"/>
  </cols>
  <sheetData>
    <row r="1" spans="1:207" x14ac:dyDescent="0.2">
      <c r="B1" s="313" t="s">
        <v>290</v>
      </c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  <c r="FA1" s="312"/>
      <c r="FB1" s="312"/>
      <c r="FC1" s="312"/>
      <c r="FD1" s="312"/>
      <c r="FE1" s="312"/>
      <c r="FF1" s="312"/>
      <c r="FG1" s="312"/>
      <c r="FH1" s="312"/>
      <c r="FI1" s="312"/>
      <c r="FJ1" s="312"/>
      <c r="FK1" s="312"/>
      <c r="FL1" s="312"/>
      <c r="FM1" s="312"/>
      <c r="FN1" s="312"/>
      <c r="FO1" s="312"/>
      <c r="FP1" s="312"/>
      <c r="FQ1" s="312"/>
      <c r="FR1" s="312"/>
      <c r="FS1" s="312"/>
      <c r="FT1" s="312"/>
      <c r="FU1" s="312"/>
      <c r="FV1" s="312"/>
      <c r="FW1" s="312"/>
      <c r="FX1" s="312"/>
      <c r="FY1" s="312"/>
      <c r="FZ1" s="312"/>
      <c r="GA1" s="312"/>
      <c r="GB1" s="312"/>
      <c r="GC1" s="312"/>
      <c r="GD1" s="312"/>
      <c r="GE1" s="312"/>
      <c r="GF1" s="312"/>
      <c r="GG1" s="312"/>
      <c r="GH1" s="312"/>
      <c r="GI1" s="312"/>
      <c r="GJ1" s="312"/>
      <c r="GK1" s="312"/>
      <c r="GL1" s="312"/>
      <c r="GM1" s="312"/>
      <c r="GN1" s="312"/>
      <c r="GO1" s="312"/>
      <c r="GP1" s="312"/>
      <c r="GQ1" s="312"/>
      <c r="GR1" s="312"/>
      <c r="GS1" s="312"/>
      <c r="GT1" s="312"/>
      <c r="GU1" s="312"/>
      <c r="GV1" s="312"/>
      <c r="GW1" s="312"/>
      <c r="GX1" s="312"/>
      <c r="GY1" s="312"/>
    </row>
    <row r="2" spans="1:207" x14ac:dyDescent="0.2">
      <c r="B2" s="313" t="s">
        <v>10</v>
      </c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/>
      <c r="DR2" s="312"/>
      <c r="DS2" s="312"/>
      <c r="DT2" s="312"/>
      <c r="DU2" s="312"/>
      <c r="DV2" s="312"/>
      <c r="DW2" s="312"/>
      <c r="DX2" s="312"/>
      <c r="DY2" s="312"/>
      <c r="DZ2" s="312"/>
      <c r="EA2" s="312"/>
      <c r="EB2" s="312"/>
      <c r="EC2" s="312"/>
      <c r="ED2" s="312"/>
      <c r="EE2" s="312"/>
      <c r="EF2" s="312"/>
      <c r="EG2" s="312"/>
      <c r="EH2" s="312"/>
      <c r="EI2" s="312"/>
      <c r="EJ2" s="312"/>
      <c r="EK2" s="312"/>
      <c r="EL2" s="312"/>
      <c r="EM2" s="312"/>
      <c r="EN2" s="312"/>
      <c r="EO2" s="312"/>
      <c r="EP2" s="312"/>
      <c r="EQ2" s="312"/>
      <c r="ER2" s="312"/>
      <c r="ES2" s="312"/>
      <c r="ET2" s="312"/>
      <c r="EU2" s="312"/>
      <c r="EV2" s="312"/>
      <c r="EW2" s="312"/>
      <c r="EX2" s="312"/>
      <c r="EY2" s="312"/>
      <c r="EZ2" s="312"/>
      <c r="FA2" s="312"/>
      <c r="FB2" s="312"/>
      <c r="FC2" s="312"/>
      <c r="FD2" s="312"/>
      <c r="FE2" s="312"/>
      <c r="FF2" s="312"/>
      <c r="FG2" s="312"/>
      <c r="FH2" s="312"/>
      <c r="FI2" s="312"/>
      <c r="FJ2" s="312"/>
      <c r="FK2" s="312"/>
      <c r="FL2" s="312"/>
      <c r="FM2" s="312"/>
      <c r="FN2" s="312"/>
      <c r="FO2" s="312"/>
      <c r="FP2" s="312"/>
      <c r="FQ2" s="312"/>
      <c r="FR2" s="312"/>
      <c r="FS2" s="312"/>
      <c r="FT2" s="312"/>
      <c r="FU2" s="312"/>
      <c r="FV2" s="312"/>
      <c r="FW2" s="312"/>
      <c r="FX2" s="312"/>
      <c r="FY2" s="312"/>
      <c r="FZ2" s="312"/>
      <c r="GA2" s="312"/>
      <c r="GB2" s="312"/>
      <c r="GC2" s="312"/>
      <c r="GD2" s="312"/>
      <c r="GE2" s="312"/>
      <c r="GF2" s="312"/>
      <c r="GG2" s="312"/>
      <c r="GH2" s="312"/>
      <c r="GI2" s="312"/>
      <c r="GJ2" s="312"/>
      <c r="GK2" s="312"/>
      <c r="GL2" s="312"/>
      <c r="GM2" s="312"/>
      <c r="GN2" s="312"/>
      <c r="GO2" s="312"/>
      <c r="GP2" s="312"/>
      <c r="GQ2" s="312"/>
      <c r="GR2" s="312"/>
      <c r="GS2" s="312"/>
      <c r="GT2" s="312"/>
      <c r="GU2" s="312"/>
      <c r="GV2" s="312"/>
      <c r="GW2" s="312"/>
      <c r="GX2" s="312"/>
      <c r="GY2" s="312"/>
    </row>
    <row r="3" spans="1:207" x14ac:dyDescent="0.2">
      <c r="B3" s="319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12"/>
      <c r="FL3" s="312"/>
      <c r="FM3" s="312"/>
      <c r="FN3" s="312"/>
      <c r="FO3" s="312"/>
      <c r="FP3" s="312"/>
      <c r="FQ3" s="312"/>
      <c r="FR3" s="312"/>
      <c r="FS3" s="312"/>
      <c r="FT3" s="312"/>
      <c r="FU3" s="312"/>
      <c r="FV3" s="312"/>
      <c r="FW3" s="312"/>
      <c r="FX3" s="312"/>
      <c r="FY3" s="312"/>
      <c r="FZ3" s="312"/>
      <c r="GA3" s="312"/>
      <c r="GB3" s="312"/>
      <c r="GC3" s="312"/>
      <c r="GD3" s="312"/>
      <c r="GE3" s="312"/>
      <c r="GF3" s="312"/>
      <c r="GG3" s="312"/>
      <c r="GH3" s="312"/>
      <c r="GI3" s="312"/>
      <c r="GJ3" s="312"/>
      <c r="GK3" s="312"/>
      <c r="GL3" s="312"/>
      <c r="GM3" s="312"/>
      <c r="GN3" s="312"/>
      <c r="GO3" s="312"/>
      <c r="GP3" s="312"/>
      <c r="GQ3" s="312"/>
      <c r="GR3" s="312"/>
      <c r="GS3" s="312"/>
      <c r="GT3" s="312"/>
      <c r="GU3" s="312"/>
      <c r="GV3" s="312"/>
      <c r="GW3" s="312"/>
      <c r="GX3" s="312"/>
      <c r="GY3" s="312"/>
    </row>
    <row r="4" spans="1:207" x14ac:dyDescent="0.2">
      <c r="B4" s="434" t="str">
        <f>'4. CC D'!A4</f>
        <v>Operación: Programa de Mejoramiento y conservación de corredores viales</v>
      </c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  <c r="DG4" s="312"/>
      <c r="DH4" s="312"/>
      <c r="DI4" s="312"/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2"/>
      <c r="EH4" s="312"/>
      <c r="EI4" s="312"/>
      <c r="EJ4" s="312"/>
      <c r="EK4" s="312"/>
      <c r="EL4" s="312"/>
      <c r="EM4" s="312"/>
      <c r="EN4" s="312"/>
      <c r="EO4" s="312"/>
      <c r="EP4" s="312"/>
      <c r="EQ4" s="312"/>
      <c r="ER4" s="312"/>
      <c r="ES4" s="312"/>
      <c r="ET4" s="312"/>
      <c r="EU4" s="312"/>
      <c r="EV4" s="312"/>
      <c r="EW4" s="312"/>
      <c r="EX4" s="312"/>
      <c r="EY4" s="312"/>
      <c r="EZ4" s="312"/>
      <c r="FA4" s="312"/>
      <c r="FB4" s="312"/>
      <c r="FC4" s="312"/>
      <c r="FD4" s="312"/>
      <c r="FE4" s="312"/>
      <c r="FF4" s="312"/>
      <c r="FG4" s="312"/>
      <c r="FH4" s="312"/>
      <c r="FI4" s="312"/>
      <c r="FJ4" s="312"/>
      <c r="FK4" s="312"/>
      <c r="FL4" s="312"/>
      <c r="FM4" s="312"/>
      <c r="FN4" s="312"/>
      <c r="FO4" s="312"/>
      <c r="FP4" s="312"/>
      <c r="FQ4" s="312"/>
      <c r="FR4" s="312"/>
      <c r="FS4" s="312"/>
      <c r="FT4" s="312"/>
      <c r="FU4" s="312"/>
      <c r="FV4" s="312"/>
      <c r="FW4" s="312"/>
      <c r="FX4" s="312"/>
      <c r="FY4" s="312"/>
      <c r="FZ4" s="312"/>
      <c r="GA4" s="312"/>
      <c r="GB4" s="312"/>
      <c r="GC4" s="312"/>
      <c r="GD4" s="312"/>
      <c r="GE4" s="312"/>
      <c r="GF4" s="312"/>
      <c r="GG4" s="312"/>
      <c r="GH4" s="312"/>
      <c r="GI4" s="312"/>
      <c r="GJ4" s="312"/>
      <c r="GK4" s="312"/>
      <c r="GL4" s="312"/>
      <c r="GM4" s="312"/>
      <c r="GN4" s="312"/>
      <c r="GO4" s="312"/>
      <c r="GP4" s="312"/>
      <c r="GQ4" s="312"/>
      <c r="GR4" s="312"/>
      <c r="GS4" s="312"/>
      <c r="GT4" s="312"/>
      <c r="GU4" s="312"/>
      <c r="GV4" s="312"/>
      <c r="GW4" s="312"/>
      <c r="GX4" s="312"/>
      <c r="GY4" s="312"/>
    </row>
    <row r="5" spans="1:207" x14ac:dyDescent="0.2">
      <c r="B5" s="319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2"/>
      <c r="DR5" s="312"/>
      <c r="DS5" s="312"/>
      <c r="DT5" s="312"/>
      <c r="DU5" s="312"/>
      <c r="DV5" s="312"/>
      <c r="DW5" s="312"/>
      <c r="DX5" s="312"/>
      <c r="DY5" s="312"/>
      <c r="DZ5" s="312"/>
      <c r="EA5" s="312"/>
      <c r="EB5" s="312"/>
      <c r="EC5" s="312"/>
      <c r="ED5" s="312"/>
      <c r="EE5" s="312"/>
      <c r="EF5" s="312"/>
      <c r="EG5" s="312"/>
      <c r="EH5" s="312"/>
      <c r="EI5" s="312"/>
      <c r="EJ5" s="312"/>
      <c r="EK5" s="312"/>
      <c r="EL5" s="312"/>
      <c r="EM5" s="312"/>
      <c r="EN5" s="312"/>
      <c r="EO5" s="312"/>
      <c r="EP5" s="312"/>
      <c r="EQ5" s="312"/>
      <c r="ER5" s="312"/>
      <c r="ES5" s="312"/>
      <c r="ET5" s="312"/>
      <c r="EU5" s="312"/>
      <c r="EV5" s="312"/>
      <c r="EW5" s="312"/>
      <c r="EX5" s="312"/>
      <c r="EY5" s="312"/>
      <c r="EZ5" s="312"/>
      <c r="FA5" s="312"/>
      <c r="FB5" s="312"/>
      <c r="FC5" s="312"/>
      <c r="FD5" s="312"/>
      <c r="FE5" s="312"/>
      <c r="FF5" s="312"/>
      <c r="FG5" s="312"/>
      <c r="FH5" s="312"/>
      <c r="FI5" s="312"/>
      <c r="FJ5" s="312"/>
      <c r="FK5" s="312"/>
      <c r="FL5" s="312"/>
      <c r="FM5" s="312"/>
      <c r="FN5" s="312"/>
      <c r="FO5" s="312"/>
      <c r="FP5" s="312"/>
      <c r="FQ5" s="312"/>
      <c r="FR5" s="312"/>
      <c r="FS5" s="312"/>
      <c r="FT5" s="312"/>
      <c r="FU5" s="312"/>
      <c r="FV5" s="312"/>
      <c r="FW5" s="312"/>
      <c r="FX5" s="312"/>
      <c r="FY5" s="312"/>
      <c r="FZ5" s="312"/>
      <c r="GA5" s="312"/>
      <c r="GB5" s="312"/>
      <c r="GC5" s="312"/>
      <c r="GD5" s="312"/>
      <c r="GE5" s="312"/>
      <c r="GF5" s="312"/>
      <c r="GG5" s="312"/>
      <c r="GH5" s="312"/>
      <c r="GI5" s="312"/>
      <c r="GJ5" s="312"/>
      <c r="GK5" s="312"/>
      <c r="GL5" s="312"/>
      <c r="GM5" s="312"/>
      <c r="GN5" s="312"/>
      <c r="GO5" s="312"/>
      <c r="GP5" s="312"/>
      <c r="GQ5" s="312"/>
      <c r="GR5" s="312"/>
      <c r="GS5" s="312"/>
      <c r="GT5" s="312"/>
      <c r="GU5" s="312"/>
      <c r="GV5" s="312"/>
      <c r="GW5" s="312"/>
      <c r="GX5" s="312"/>
      <c r="GY5" s="312"/>
    </row>
    <row r="6" spans="1:207" x14ac:dyDescent="0.2">
      <c r="B6" s="313" t="s">
        <v>11</v>
      </c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2"/>
      <c r="EF6" s="312"/>
      <c r="EG6" s="312"/>
      <c r="EH6" s="312"/>
      <c r="EI6" s="312"/>
      <c r="EJ6" s="312"/>
      <c r="EK6" s="312"/>
      <c r="EL6" s="312"/>
      <c r="EM6" s="312"/>
      <c r="EN6" s="312"/>
      <c r="EO6" s="312"/>
      <c r="EP6" s="312"/>
      <c r="EQ6" s="312"/>
      <c r="ER6" s="312"/>
      <c r="ES6" s="312"/>
      <c r="ET6" s="312"/>
      <c r="EU6" s="312"/>
      <c r="EV6" s="312"/>
      <c r="EW6" s="312"/>
      <c r="EX6" s="312"/>
      <c r="EY6" s="312"/>
      <c r="EZ6" s="312"/>
      <c r="FA6" s="312"/>
      <c r="FB6" s="312"/>
      <c r="FC6" s="312"/>
      <c r="FD6" s="312"/>
      <c r="FE6" s="312"/>
      <c r="FF6" s="312"/>
      <c r="FG6" s="312"/>
      <c r="FH6" s="312"/>
      <c r="FI6" s="312"/>
      <c r="FJ6" s="312"/>
      <c r="FK6" s="312"/>
      <c r="FL6" s="312"/>
      <c r="FM6" s="312"/>
      <c r="FN6" s="312"/>
      <c r="FO6" s="312"/>
      <c r="FP6" s="312"/>
      <c r="FQ6" s="312"/>
      <c r="FR6" s="312"/>
      <c r="FS6" s="312"/>
      <c r="FT6" s="312"/>
      <c r="FU6" s="312"/>
      <c r="FV6" s="312"/>
      <c r="FW6" s="312"/>
      <c r="FX6" s="312"/>
      <c r="FY6" s="312"/>
      <c r="FZ6" s="312"/>
      <c r="GA6" s="312"/>
      <c r="GB6" s="312"/>
      <c r="GC6" s="312"/>
      <c r="GD6" s="312"/>
      <c r="GE6" s="312"/>
      <c r="GF6" s="312"/>
      <c r="GG6" s="312"/>
      <c r="GH6" s="312"/>
      <c r="GI6" s="312"/>
      <c r="GJ6" s="312"/>
      <c r="GK6" s="312"/>
      <c r="GL6" s="312"/>
      <c r="GM6" s="312"/>
      <c r="GN6" s="312"/>
      <c r="GO6" s="312"/>
      <c r="GP6" s="312"/>
      <c r="GQ6" s="312"/>
      <c r="GR6" s="312"/>
      <c r="GS6" s="312"/>
      <c r="GT6" s="312"/>
      <c r="GU6" s="312"/>
      <c r="GV6" s="312"/>
      <c r="GW6" s="312"/>
      <c r="GX6" s="312"/>
      <c r="GY6" s="312"/>
    </row>
    <row r="7" spans="1:207" x14ac:dyDescent="0.2">
      <c r="B7" s="313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2"/>
      <c r="FL7" s="312"/>
      <c r="FM7" s="312"/>
      <c r="FN7" s="312"/>
      <c r="FO7" s="312"/>
      <c r="FP7" s="312"/>
      <c r="FQ7" s="312"/>
      <c r="FR7" s="312"/>
      <c r="FS7" s="312"/>
      <c r="FT7" s="312"/>
      <c r="FU7" s="312"/>
      <c r="FV7" s="312"/>
      <c r="FW7" s="312"/>
      <c r="FX7" s="312"/>
      <c r="FY7" s="312"/>
      <c r="FZ7" s="312"/>
      <c r="GA7" s="312"/>
      <c r="GB7" s="312"/>
      <c r="GC7" s="312"/>
      <c r="GD7" s="312"/>
      <c r="GE7" s="312"/>
      <c r="GF7" s="312"/>
      <c r="GG7" s="312"/>
      <c r="GH7" s="312"/>
      <c r="GI7" s="312"/>
      <c r="GJ7" s="312"/>
      <c r="GK7" s="312"/>
      <c r="GL7" s="312"/>
      <c r="GM7" s="312"/>
      <c r="GN7" s="312"/>
      <c r="GO7" s="312"/>
      <c r="GP7" s="312"/>
      <c r="GQ7" s="312"/>
      <c r="GR7" s="312"/>
      <c r="GS7" s="312"/>
      <c r="GT7" s="312"/>
      <c r="GU7" s="312"/>
      <c r="GV7" s="312"/>
      <c r="GW7" s="312"/>
      <c r="GX7" s="312"/>
      <c r="GY7" s="312"/>
    </row>
    <row r="8" spans="1:207" s="318" customFormat="1" x14ac:dyDescent="0.2">
      <c r="A8" s="312"/>
      <c r="B8" s="539" t="s">
        <v>291</v>
      </c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1"/>
      <c r="P8" s="320"/>
      <c r="Q8" s="321"/>
      <c r="R8" s="322"/>
      <c r="S8" s="321"/>
      <c r="T8" s="321"/>
      <c r="U8" s="321"/>
    </row>
    <row r="9" spans="1:207" s="318" customFormat="1" x14ac:dyDescent="0.2">
      <c r="A9" s="312"/>
      <c r="B9" s="531" t="s">
        <v>292</v>
      </c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320"/>
      <c r="Q9" s="321"/>
      <c r="R9" s="322"/>
      <c r="S9" s="321"/>
      <c r="T9" s="321"/>
      <c r="U9" s="321"/>
    </row>
    <row r="10" spans="1:207" s="318" customFormat="1" x14ac:dyDescent="0.2">
      <c r="A10" s="312"/>
      <c r="B10" s="512" t="s">
        <v>293</v>
      </c>
      <c r="C10" s="516" t="s">
        <v>294</v>
      </c>
      <c r="D10" s="516" t="s">
        <v>295</v>
      </c>
      <c r="E10" s="512" t="s">
        <v>296</v>
      </c>
      <c r="F10" s="512" t="s">
        <v>297</v>
      </c>
      <c r="G10" s="537" t="s">
        <v>298</v>
      </c>
      <c r="H10" s="514" t="s">
        <v>299</v>
      </c>
      <c r="I10" s="514"/>
      <c r="J10" s="514"/>
      <c r="K10" s="512" t="s">
        <v>300</v>
      </c>
      <c r="L10" s="513" t="s">
        <v>301</v>
      </c>
      <c r="M10" s="512" t="s">
        <v>302</v>
      </c>
      <c r="N10" s="512"/>
      <c r="O10" s="512" t="s">
        <v>303</v>
      </c>
      <c r="P10" s="320"/>
      <c r="Q10" s="321"/>
      <c r="R10" s="323" t="s">
        <v>304</v>
      </c>
      <c r="S10" s="321"/>
      <c r="T10" s="321"/>
      <c r="U10" s="321"/>
    </row>
    <row r="11" spans="1:207" s="318" customFormat="1" ht="38.25" x14ac:dyDescent="0.2">
      <c r="A11" s="312"/>
      <c r="B11" s="512"/>
      <c r="C11" s="516"/>
      <c r="D11" s="516"/>
      <c r="E11" s="514"/>
      <c r="F11" s="512"/>
      <c r="G11" s="519"/>
      <c r="H11" s="324" t="s">
        <v>305</v>
      </c>
      <c r="I11" s="324" t="s">
        <v>306</v>
      </c>
      <c r="J11" s="324" t="s">
        <v>307</v>
      </c>
      <c r="K11" s="512"/>
      <c r="L11" s="514"/>
      <c r="M11" s="325" t="s">
        <v>308</v>
      </c>
      <c r="N11" s="326" t="s">
        <v>309</v>
      </c>
      <c r="O11" s="512"/>
      <c r="P11" s="320"/>
      <c r="Q11" s="321"/>
      <c r="R11" s="323" t="s">
        <v>310</v>
      </c>
      <c r="S11" s="321"/>
      <c r="T11" s="321"/>
      <c r="U11" s="321"/>
    </row>
    <row r="12" spans="1:207" s="318" customFormat="1" ht="51" customHeight="1" x14ac:dyDescent="0.2">
      <c r="A12" s="312"/>
      <c r="B12" s="327" t="str">
        <f>+'4. CC D'!G10</f>
        <v>ECATEF/DV</v>
      </c>
      <c r="C12" s="328" t="s">
        <v>409</v>
      </c>
      <c r="D12" s="329" t="s">
        <v>364</v>
      </c>
      <c r="E12" s="330" t="s">
        <v>311</v>
      </c>
      <c r="F12" s="331">
        <v>1</v>
      </c>
      <c r="G12" s="331">
        <v>1</v>
      </c>
      <c r="H12" s="331">
        <f>+'3. PEP'!G28+'3. PEP'!G33</f>
        <v>43550000</v>
      </c>
      <c r="I12" s="332">
        <v>1</v>
      </c>
      <c r="J12" s="332">
        <f>100%-I12</f>
        <v>0</v>
      </c>
      <c r="K12" s="330" t="s">
        <v>312</v>
      </c>
      <c r="L12" s="333" t="s">
        <v>310</v>
      </c>
      <c r="M12" s="435"/>
      <c r="N12" s="435"/>
      <c r="O12" s="334"/>
      <c r="P12" s="320"/>
      <c r="Q12" s="321"/>
      <c r="R12" s="323" t="s">
        <v>313</v>
      </c>
      <c r="S12" s="321"/>
      <c r="T12" s="321"/>
      <c r="U12" s="321"/>
    </row>
    <row r="13" spans="1:207" s="318" customFormat="1" ht="54" customHeight="1" x14ac:dyDescent="0.2">
      <c r="A13" s="312"/>
      <c r="B13" s="327" t="s">
        <v>363</v>
      </c>
      <c r="C13" s="328" t="str">
        <f>+'4. CC D'!B12</f>
        <v>Contratación de Firma Constructora para el mejoramiento y rehabilitación  del tramo Empalme R6 - Empalme corredor de Exportación (52 Km)</v>
      </c>
      <c r="D13" s="329" t="s">
        <v>83</v>
      </c>
      <c r="E13" s="330" t="s">
        <v>311</v>
      </c>
      <c r="F13" s="331">
        <v>1</v>
      </c>
      <c r="G13" s="331">
        <v>2</v>
      </c>
      <c r="H13" s="331">
        <f>+'3. PEP'!G29</f>
        <v>30500000</v>
      </c>
      <c r="I13" s="332">
        <v>1</v>
      </c>
      <c r="J13" s="332">
        <f t="shared" ref="J13" si="0">100%-I13</f>
        <v>0</v>
      </c>
      <c r="K13" s="330" t="s">
        <v>312</v>
      </c>
      <c r="L13" s="333" t="s">
        <v>310</v>
      </c>
      <c r="M13" s="435"/>
      <c r="N13" s="435"/>
      <c r="O13" s="334"/>
      <c r="P13" s="320"/>
      <c r="Q13" s="321"/>
      <c r="R13" s="323"/>
      <c r="S13" s="321"/>
      <c r="T13" s="321"/>
      <c r="U13" s="321"/>
    </row>
    <row r="14" spans="1:207" s="318" customFormat="1" ht="38.25" x14ac:dyDescent="0.2">
      <c r="A14" s="312"/>
      <c r="B14" s="327" t="s">
        <v>363</v>
      </c>
      <c r="C14" s="328" t="str">
        <f>+'4. CC D'!B17</f>
        <v>Contratación de Firma Constructora para Obra de Conservación Ruta 13: Caaguazu- Empalme Ruta 10 (120 km)</v>
      </c>
      <c r="D14" s="329" t="s">
        <v>89</v>
      </c>
      <c r="E14" s="330" t="s">
        <v>311</v>
      </c>
      <c r="F14" s="331">
        <v>1</v>
      </c>
      <c r="G14" s="331">
        <v>3</v>
      </c>
      <c r="H14" s="331">
        <f>+'3. PEP'!G34</f>
        <v>6250000</v>
      </c>
      <c r="I14" s="332">
        <v>1</v>
      </c>
      <c r="J14" s="332">
        <f>100%-I14</f>
        <v>0</v>
      </c>
      <c r="K14" s="330" t="s">
        <v>312</v>
      </c>
      <c r="L14" s="333" t="s">
        <v>310</v>
      </c>
      <c r="M14" s="435"/>
      <c r="N14" s="435"/>
      <c r="O14" s="334"/>
      <c r="P14" s="320"/>
      <c r="Q14" s="321"/>
      <c r="R14" s="323"/>
      <c r="S14" s="321"/>
      <c r="T14" s="321"/>
      <c r="U14" s="321"/>
    </row>
    <row r="15" spans="1:207" s="318" customFormat="1" x14ac:dyDescent="0.2">
      <c r="A15" s="312"/>
      <c r="B15" s="534" t="s">
        <v>314</v>
      </c>
      <c r="C15" s="534"/>
      <c r="D15" s="534"/>
      <c r="E15" s="534"/>
      <c r="F15" s="534"/>
      <c r="G15" s="534"/>
      <c r="H15" s="335">
        <f>SUM(H12:H14)</f>
        <v>80300000</v>
      </c>
      <c r="I15" s="336"/>
      <c r="J15" s="336"/>
      <c r="K15" s="336"/>
      <c r="L15" s="337"/>
      <c r="M15" s="337"/>
      <c r="N15" s="338"/>
      <c r="O15" s="336"/>
      <c r="P15" s="320"/>
      <c r="Q15" s="321"/>
      <c r="R15" s="323" t="s">
        <v>315</v>
      </c>
      <c r="S15" s="321"/>
      <c r="T15" s="321"/>
      <c r="U15" s="321"/>
    </row>
    <row r="16" spans="1:207" s="318" customFormat="1" x14ac:dyDescent="0.2">
      <c r="A16" s="312"/>
      <c r="B16" s="312"/>
      <c r="C16" s="314"/>
      <c r="D16" s="315"/>
      <c r="E16" s="312"/>
      <c r="F16" s="312"/>
      <c r="G16" s="316"/>
      <c r="H16" s="312"/>
      <c r="I16" s="312"/>
      <c r="J16" s="312"/>
      <c r="K16" s="312"/>
      <c r="L16" s="317"/>
      <c r="M16" s="317"/>
      <c r="N16" s="315"/>
      <c r="O16" s="312"/>
      <c r="P16" s="320"/>
      <c r="R16" s="323" t="s">
        <v>316</v>
      </c>
    </row>
    <row r="17" spans="1:207" s="318" customFormat="1" x14ac:dyDescent="0.2">
      <c r="A17" s="312"/>
      <c r="B17" s="512" t="s">
        <v>317</v>
      </c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320"/>
      <c r="Q17" s="321"/>
      <c r="R17" s="323" t="s">
        <v>318</v>
      </c>
      <c r="S17" s="321"/>
      <c r="T17" s="321"/>
      <c r="U17" s="321"/>
    </row>
    <row r="18" spans="1:207" s="318" customFormat="1" x14ac:dyDescent="0.2">
      <c r="A18" s="312"/>
      <c r="B18" s="512" t="s">
        <v>293</v>
      </c>
      <c r="C18" s="516" t="s">
        <v>294</v>
      </c>
      <c r="D18" s="516" t="s">
        <v>295</v>
      </c>
      <c r="E18" s="512" t="s">
        <v>319</v>
      </c>
      <c r="F18" s="512" t="s">
        <v>297</v>
      </c>
      <c r="G18" s="537" t="s">
        <v>298</v>
      </c>
      <c r="H18" s="514" t="s">
        <v>299</v>
      </c>
      <c r="I18" s="514"/>
      <c r="J18" s="514"/>
      <c r="K18" s="512" t="s">
        <v>300</v>
      </c>
      <c r="L18" s="513" t="s">
        <v>301</v>
      </c>
      <c r="M18" s="512" t="s">
        <v>302</v>
      </c>
      <c r="N18" s="512"/>
      <c r="O18" s="512" t="s">
        <v>303</v>
      </c>
      <c r="P18" s="320"/>
      <c r="Q18" s="321"/>
      <c r="R18" s="323" t="s">
        <v>320</v>
      </c>
      <c r="S18" s="321"/>
      <c r="T18" s="321"/>
      <c r="U18" s="321"/>
    </row>
    <row r="19" spans="1:207" s="318" customFormat="1" ht="38.25" x14ac:dyDescent="0.2">
      <c r="A19" s="312"/>
      <c r="B19" s="512"/>
      <c r="C19" s="516"/>
      <c r="D19" s="516"/>
      <c r="E19" s="514"/>
      <c r="F19" s="512"/>
      <c r="G19" s="519"/>
      <c r="H19" s="324" t="s">
        <v>305</v>
      </c>
      <c r="I19" s="324" t="s">
        <v>306</v>
      </c>
      <c r="J19" s="324" t="s">
        <v>307</v>
      </c>
      <c r="K19" s="512"/>
      <c r="L19" s="514"/>
      <c r="M19" s="339" t="s">
        <v>308</v>
      </c>
      <c r="N19" s="340" t="s">
        <v>309</v>
      </c>
      <c r="O19" s="512"/>
      <c r="P19" s="320"/>
      <c r="Q19" s="321"/>
      <c r="R19" s="322"/>
      <c r="S19" s="321"/>
      <c r="T19" s="321"/>
      <c r="U19" s="321"/>
    </row>
    <row r="20" spans="1:207" s="341" customFormat="1" x14ac:dyDescent="0.2">
      <c r="B20" s="342"/>
      <c r="C20" s="343"/>
      <c r="D20" s="344"/>
      <c r="E20" s="327"/>
      <c r="F20" s="345"/>
      <c r="H20" s="60"/>
      <c r="I20" s="346"/>
      <c r="J20" s="346"/>
      <c r="K20" s="347"/>
      <c r="L20" s="348"/>
      <c r="M20" s="349"/>
      <c r="N20" s="349"/>
      <c r="O20" s="350"/>
      <c r="P20" s="318"/>
      <c r="Q20" s="318"/>
      <c r="R20" s="323"/>
      <c r="S20" s="323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8"/>
      <c r="DW20" s="318"/>
      <c r="DX20" s="318"/>
      <c r="DY20" s="318"/>
      <c r="DZ20" s="318"/>
      <c r="EA20" s="318"/>
      <c r="EB20" s="318"/>
      <c r="EC20" s="318"/>
      <c r="ED20" s="318"/>
      <c r="EE20" s="318"/>
      <c r="EF20" s="318"/>
      <c r="EG20" s="318"/>
      <c r="EH20" s="318"/>
      <c r="EI20" s="318"/>
      <c r="EJ20" s="318"/>
      <c r="EK20" s="318"/>
      <c r="EL20" s="318"/>
      <c r="EM20" s="318"/>
      <c r="EN20" s="318"/>
      <c r="EO20" s="318"/>
      <c r="EP20" s="318"/>
      <c r="EQ20" s="318"/>
      <c r="ER20" s="318"/>
      <c r="ES20" s="318"/>
      <c r="ET20" s="318"/>
      <c r="EU20" s="318"/>
      <c r="EV20" s="318"/>
      <c r="EW20" s="318"/>
      <c r="EX20" s="318"/>
      <c r="EY20" s="318"/>
      <c r="EZ20" s="318"/>
      <c r="FA20" s="318"/>
      <c r="FB20" s="318"/>
      <c r="FC20" s="318"/>
      <c r="FD20" s="318"/>
      <c r="FE20" s="318"/>
      <c r="FF20" s="318"/>
      <c r="FG20" s="318"/>
      <c r="FH20" s="318"/>
      <c r="FI20" s="318"/>
      <c r="FJ20" s="318"/>
      <c r="FK20" s="318"/>
      <c r="FL20" s="318"/>
      <c r="FM20" s="318"/>
      <c r="FN20" s="318"/>
      <c r="FO20" s="318"/>
      <c r="FP20" s="318"/>
      <c r="FQ20" s="318"/>
      <c r="FR20" s="318"/>
      <c r="FS20" s="318"/>
      <c r="FT20" s="318"/>
      <c r="FU20" s="318"/>
      <c r="FV20" s="318"/>
      <c r="FW20" s="318"/>
      <c r="FX20" s="318"/>
      <c r="FY20" s="318"/>
      <c r="FZ20" s="318"/>
      <c r="GA20" s="318"/>
      <c r="GB20" s="318"/>
      <c r="GC20" s="318"/>
      <c r="GD20" s="318"/>
      <c r="GE20" s="318"/>
      <c r="GF20" s="318"/>
      <c r="GG20" s="318"/>
      <c r="GH20" s="318"/>
      <c r="GI20" s="318"/>
      <c r="GJ20" s="318"/>
      <c r="GK20" s="318"/>
      <c r="GL20" s="318"/>
      <c r="GM20" s="318"/>
      <c r="GN20" s="318"/>
      <c r="GO20" s="318"/>
      <c r="GP20" s="318"/>
      <c r="GQ20" s="318"/>
      <c r="GR20" s="318"/>
      <c r="GS20" s="318"/>
      <c r="GT20" s="318"/>
      <c r="GU20" s="318"/>
      <c r="GV20" s="318"/>
      <c r="GW20" s="318"/>
      <c r="GX20" s="318"/>
      <c r="GY20" s="318"/>
    </row>
    <row r="21" spans="1:207" s="318" customFormat="1" x14ac:dyDescent="0.2">
      <c r="A21" s="312"/>
      <c r="B21" s="534" t="s">
        <v>321</v>
      </c>
      <c r="C21" s="534"/>
      <c r="D21" s="534"/>
      <c r="E21" s="534"/>
      <c r="F21" s="534"/>
      <c r="G21" s="534"/>
      <c r="H21" s="335">
        <f>SUM(H20:H20)</f>
        <v>0</v>
      </c>
      <c r="I21" s="336"/>
      <c r="J21" s="336"/>
      <c r="K21" s="336"/>
      <c r="L21" s="337"/>
      <c r="M21" s="351"/>
      <c r="N21" s="352"/>
      <c r="O21" s="353"/>
      <c r="P21" s="320"/>
      <c r="Q21" s="321"/>
      <c r="R21" s="323" t="s">
        <v>315</v>
      </c>
      <c r="S21" s="321"/>
      <c r="T21" s="321"/>
      <c r="U21" s="321"/>
    </row>
    <row r="22" spans="1:207" s="318" customFormat="1" x14ac:dyDescent="0.2">
      <c r="A22" s="312"/>
      <c r="B22" s="312"/>
      <c r="C22" s="314"/>
      <c r="D22" s="315"/>
      <c r="E22" s="312"/>
      <c r="F22" s="312"/>
      <c r="G22" s="316"/>
      <c r="H22" s="312"/>
      <c r="I22" s="312"/>
      <c r="J22" s="312"/>
      <c r="K22" s="312"/>
      <c r="L22" s="317"/>
      <c r="M22" s="317"/>
      <c r="N22" s="315"/>
      <c r="O22" s="312"/>
      <c r="P22" s="312"/>
      <c r="R22" s="323" t="s">
        <v>311</v>
      </c>
    </row>
    <row r="23" spans="1:207" s="318" customFormat="1" x14ac:dyDescent="0.2">
      <c r="A23" s="312"/>
      <c r="B23" s="512" t="s">
        <v>322</v>
      </c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312"/>
      <c r="R23" s="323" t="s">
        <v>323</v>
      </c>
    </row>
    <row r="24" spans="1:207" s="318" customFormat="1" x14ac:dyDescent="0.2">
      <c r="A24" s="312"/>
      <c r="B24" s="512" t="s">
        <v>293</v>
      </c>
      <c r="C24" s="516" t="s">
        <v>294</v>
      </c>
      <c r="D24" s="516" t="s">
        <v>295</v>
      </c>
      <c r="E24" s="512" t="s">
        <v>319</v>
      </c>
      <c r="F24" s="512" t="s">
        <v>297</v>
      </c>
      <c r="G24" s="537" t="s">
        <v>298</v>
      </c>
      <c r="H24" s="514" t="s">
        <v>299</v>
      </c>
      <c r="I24" s="514"/>
      <c r="J24" s="514"/>
      <c r="K24" s="512" t="s">
        <v>300</v>
      </c>
      <c r="L24" s="513" t="s">
        <v>301</v>
      </c>
      <c r="M24" s="512" t="s">
        <v>302</v>
      </c>
      <c r="N24" s="512"/>
      <c r="O24" s="512" t="s">
        <v>303</v>
      </c>
      <c r="P24" s="312"/>
      <c r="R24" s="323" t="s">
        <v>324</v>
      </c>
    </row>
    <row r="25" spans="1:207" s="318" customFormat="1" ht="38.25" x14ac:dyDescent="0.2">
      <c r="A25" s="312"/>
      <c r="B25" s="530"/>
      <c r="C25" s="535"/>
      <c r="D25" s="535"/>
      <c r="E25" s="536"/>
      <c r="F25" s="530"/>
      <c r="G25" s="538"/>
      <c r="H25" s="354" t="s">
        <v>305</v>
      </c>
      <c r="I25" s="354" t="s">
        <v>306</v>
      </c>
      <c r="J25" s="354" t="s">
        <v>307</v>
      </c>
      <c r="K25" s="530"/>
      <c r="L25" s="536"/>
      <c r="M25" s="339" t="s">
        <v>325</v>
      </c>
      <c r="N25" s="340" t="s">
        <v>309</v>
      </c>
      <c r="O25" s="530"/>
      <c r="P25" s="312"/>
      <c r="R25" s="323" t="s">
        <v>326</v>
      </c>
    </row>
    <row r="26" spans="1:207" s="318" customFormat="1" x14ac:dyDescent="0.2">
      <c r="A26" s="355"/>
      <c r="B26" s="342"/>
      <c r="C26" s="356"/>
      <c r="D26" s="357"/>
      <c r="E26" s="327"/>
      <c r="F26" s="345"/>
      <c r="G26" s="358"/>
      <c r="H26" s="359"/>
      <c r="I26" s="360"/>
      <c r="J26" s="360"/>
      <c r="K26" s="361"/>
      <c r="L26" s="348"/>
      <c r="M26" s="349"/>
      <c r="N26" s="349"/>
      <c r="O26" s="362"/>
      <c r="P26" s="363"/>
      <c r="R26" s="323"/>
      <c r="S26" s="323"/>
    </row>
    <row r="27" spans="1:207" s="318" customFormat="1" x14ac:dyDescent="0.2">
      <c r="A27" s="312"/>
      <c r="B27" s="527" t="s">
        <v>327</v>
      </c>
      <c r="C27" s="527"/>
      <c r="D27" s="527"/>
      <c r="E27" s="527"/>
      <c r="F27" s="527"/>
      <c r="G27" s="527"/>
      <c r="H27" s="364">
        <f>SUM(H26:H26)</f>
        <v>0</v>
      </c>
      <c r="I27" s="353"/>
      <c r="J27" s="353"/>
      <c r="K27" s="353"/>
      <c r="L27" s="351"/>
      <c r="M27" s="351"/>
      <c r="N27" s="352"/>
      <c r="O27" s="333"/>
      <c r="P27" s="365"/>
      <c r="Q27" s="321"/>
      <c r="R27" s="323" t="s">
        <v>315</v>
      </c>
      <c r="S27" s="321"/>
      <c r="T27" s="321"/>
      <c r="U27" s="321"/>
    </row>
    <row r="28" spans="1:207" s="318" customFormat="1" x14ac:dyDescent="0.2">
      <c r="A28" s="312"/>
      <c r="B28" s="366"/>
      <c r="C28" s="367"/>
      <c r="D28" s="367"/>
      <c r="E28" s="368"/>
      <c r="F28" s="368"/>
      <c r="G28" s="369"/>
      <c r="H28" s="368"/>
      <c r="I28" s="368"/>
      <c r="J28" s="368"/>
      <c r="K28" s="368"/>
      <c r="L28" s="370"/>
      <c r="M28" s="370"/>
      <c r="N28" s="367"/>
      <c r="O28" s="368"/>
      <c r="P28" s="312"/>
      <c r="R28" s="323"/>
    </row>
    <row r="29" spans="1:207" s="318" customFormat="1" x14ac:dyDescent="0.2">
      <c r="A29" s="312"/>
      <c r="B29" s="528" t="s">
        <v>328</v>
      </c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312"/>
      <c r="R29" s="323" t="s">
        <v>329</v>
      </c>
    </row>
    <row r="30" spans="1:207" s="318" customFormat="1" x14ac:dyDescent="0.2">
      <c r="A30" s="312"/>
      <c r="B30" s="512" t="s">
        <v>293</v>
      </c>
      <c r="C30" s="516" t="s">
        <v>294</v>
      </c>
      <c r="D30" s="530" t="s">
        <v>330</v>
      </c>
      <c r="E30" s="512" t="s">
        <v>319</v>
      </c>
      <c r="F30" s="512" t="s">
        <v>298</v>
      </c>
      <c r="G30" s="514" t="s">
        <v>299</v>
      </c>
      <c r="H30" s="514"/>
      <c r="I30" s="514"/>
      <c r="J30" s="512" t="s">
        <v>300</v>
      </c>
      <c r="K30" s="512" t="s">
        <v>301</v>
      </c>
      <c r="L30" s="512" t="s">
        <v>302</v>
      </c>
      <c r="M30" s="520"/>
      <c r="N30" s="521" t="s">
        <v>303</v>
      </c>
      <c r="O30" s="522"/>
      <c r="P30" s="312"/>
      <c r="R30" s="323" t="s">
        <v>331</v>
      </c>
    </row>
    <row r="31" spans="1:207" s="318" customFormat="1" ht="51" x14ac:dyDescent="0.2">
      <c r="A31" s="312"/>
      <c r="B31" s="512"/>
      <c r="C31" s="516"/>
      <c r="D31" s="531"/>
      <c r="E31" s="514"/>
      <c r="F31" s="512"/>
      <c r="G31" s="371" t="s">
        <v>305</v>
      </c>
      <c r="H31" s="324" t="s">
        <v>306</v>
      </c>
      <c r="I31" s="324" t="s">
        <v>307</v>
      </c>
      <c r="J31" s="512"/>
      <c r="K31" s="519"/>
      <c r="L31" s="325" t="s">
        <v>332</v>
      </c>
      <c r="M31" s="372" t="s">
        <v>309</v>
      </c>
      <c r="N31" s="523"/>
      <c r="O31" s="524"/>
      <c r="P31" s="312"/>
      <c r="R31" s="323" t="s">
        <v>333</v>
      </c>
    </row>
    <row r="32" spans="1:207" s="318" customFormat="1" ht="63.75" x14ac:dyDescent="0.2">
      <c r="A32" s="355"/>
      <c r="B32" s="327" t="s">
        <v>363</v>
      </c>
      <c r="C32" s="356" t="s">
        <v>410</v>
      </c>
      <c r="D32" s="358" t="s">
        <v>365</v>
      </c>
      <c r="E32" s="327" t="s">
        <v>103</v>
      </c>
      <c r="F32" s="358">
        <v>4</v>
      </c>
      <c r="G32" s="359">
        <f>+'4. CC D'!I13+'4. CC D'!I18</f>
        <v>2500000</v>
      </c>
      <c r="H32" s="346">
        <v>1</v>
      </c>
      <c r="I32" s="373">
        <v>0</v>
      </c>
      <c r="J32" s="361" t="s">
        <v>312</v>
      </c>
      <c r="K32" s="374" t="s">
        <v>334</v>
      </c>
      <c r="L32" s="349" t="str">
        <f>+'3. PEP'!D30</f>
        <v>T1 - Año 1</v>
      </c>
      <c r="M32" s="349" t="str">
        <f>+'3. PEP'!E30</f>
        <v>T4 - Año 1</v>
      </c>
      <c r="N32" s="525"/>
      <c r="O32" s="526"/>
      <c r="P32" s="312"/>
      <c r="R32" s="323"/>
      <c r="S32" s="323"/>
    </row>
    <row r="33" spans="1:207" s="318" customFormat="1" ht="53.25" customHeight="1" x14ac:dyDescent="0.2">
      <c r="A33" s="355"/>
      <c r="B33" s="327" t="s">
        <v>363</v>
      </c>
      <c r="C33" s="356" t="str">
        <f>+'3. PEP'!B31</f>
        <v>Contratación de Firma Consultora para Fiscalización de obra de mejoramiento y rehabilitación del tramo Empalme R6 - Empalme Corredor de Exportación (52 Km)</v>
      </c>
      <c r="D33" s="358" t="s">
        <v>86</v>
      </c>
      <c r="E33" s="327" t="s">
        <v>103</v>
      </c>
      <c r="F33" s="358">
        <v>5</v>
      </c>
      <c r="G33" s="359">
        <f>+'4. CC D'!I14</f>
        <v>1800000</v>
      </c>
      <c r="H33" s="346">
        <v>1</v>
      </c>
      <c r="I33" s="373">
        <v>0</v>
      </c>
      <c r="J33" s="361" t="s">
        <v>312</v>
      </c>
      <c r="K33" s="374" t="s">
        <v>334</v>
      </c>
      <c r="L33" s="349" t="str">
        <f>+'3. PEP'!D31</f>
        <v>T1 - Año 3</v>
      </c>
      <c r="M33" s="349" t="str">
        <f>+'3. PEP'!E31</f>
        <v>T4 - Año 3</v>
      </c>
      <c r="N33" s="532"/>
      <c r="O33" s="533"/>
      <c r="P33" s="312"/>
      <c r="R33" s="323"/>
      <c r="S33" s="323"/>
    </row>
    <row r="34" spans="1:207" s="318" customFormat="1" ht="38.25" x14ac:dyDescent="0.2">
      <c r="A34" s="355"/>
      <c r="B34" s="327" t="s">
        <v>363</v>
      </c>
      <c r="C34" s="356" t="str">
        <f>+'3. PEP'!B36</f>
        <v>Contratación de Firma Consultora para Fiscalización de Obra de Conservación Ruta 13: Caaguazu - Empalme Ruta 10 (120 km)</v>
      </c>
      <c r="D34" s="358" t="s">
        <v>92</v>
      </c>
      <c r="E34" s="327" t="s">
        <v>103</v>
      </c>
      <c r="F34" s="358">
        <v>6</v>
      </c>
      <c r="G34" s="359">
        <f>+'4. CC D'!I19</f>
        <v>400000</v>
      </c>
      <c r="H34" s="346">
        <v>1</v>
      </c>
      <c r="I34" s="373">
        <v>0</v>
      </c>
      <c r="J34" s="361" t="s">
        <v>312</v>
      </c>
      <c r="K34" s="374" t="s">
        <v>334</v>
      </c>
      <c r="L34" s="349" t="str">
        <f>+'3. PEP'!D34</f>
        <v>T2 - Año 1</v>
      </c>
      <c r="M34" s="349" t="str">
        <f>+'3. PEP'!E34</f>
        <v>T1 - Año 2</v>
      </c>
      <c r="N34" s="532" t="s">
        <v>368</v>
      </c>
      <c r="O34" s="533"/>
      <c r="P34" s="312"/>
      <c r="R34" s="323"/>
      <c r="S34" s="323"/>
    </row>
    <row r="35" spans="1:207" s="318" customFormat="1" ht="25.5" x14ac:dyDescent="0.2">
      <c r="A35" s="355"/>
      <c r="B35" s="327" t="s">
        <v>363</v>
      </c>
      <c r="C35" s="356" t="str">
        <f>+'4. CC D'!B22</f>
        <v xml:space="preserve">Contratación de la ECATEF para apoyo en la ejecución del Programa </v>
      </c>
      <c r="D35" s="358" t="s">
        <v>94</v>
      </c>
      <c r="E35" s="327" t="s">
        <v>97</v>
      </c>
      <c r="F35" s="358">
        <v>7</v>
      </c>
      <c r="G35" s="359">
        <f>+'4. CC D'!I22</f>
        <v>3300000</v>
      </c>
      <c r="H35" s="346">
        <v>1</v>
      </c>
      <c r="I35" s="373">
        <v>0</v>
      </c>
      <c r="J35" s="361" t="s">
        <v>5</v>
      </c>
      <c r="K35" s="374" t="s">
        <v>334</v>
      </c>
      <c r="L35" s="349"/>
      <c r="M35" s="349"/>
      <c r="N35" s="375"/>
      <c r="O35" s="376"/>
      <c r="P35" s="312"/>
      <c r="R35" s="323"/>
      <c r="S35" s="323"/>
    </row>
    <row r="36" spans="1:207" s="318" customFormat="1" ht="25.5" x14ac:dyDescent="0.2">
      <c r="A36" s="355"/>
      <c r="B36" s="327" t="s">
        <v>363</v>
      </c>
      <c r="C36" s="356" t="str">
        <f>+'4. CC D'!B24</f>
        <v>Contratación de Firma Consultora para la Auditoria Externa del Programa PR-L1105</v>
      </c>
      <c r="D36" s="358" t="str">
        <f>+'4. CC D'!A24</f>
        <v>2.2.1</v>
      </c>
      <c r="E36" s="327" t="str">
        <f>+'4. CC D'!F24</f>
        <v>SBCC</v>
      </c>
      <c r="F36" s="358">
        <v>8</v>
      </c>
      <c r="G36" s="359">
        <f>+'4. CC D'!I24</f>
        <v>150000</v>
      </c>
      <c r="H36" s="346">
        <v>1</v>
      </c>
      <c r="I36" s="373">
        <v>0</v>
      </c>
      <c r="J36" s="361" t="s">
        <v>5</v>
      </c>
      <c r="K36" s="374" t="s">
        <v>334</v>
      </c>
      <c r="L36" s="349" t="str">
        <f>+'3. PEP'!D41</f>
        <v>T2 - Año 1</v>
      </c>
      <c r="M36" s="349" t="str">
        <f>+'3. PEP'!E41</f>
        <v>T4 - Año 1</v>
      </c>
      <c r="N36" s="375"/>
      <c r="O36" s="376"/>
      <c r="P36" s="312"/>
      <c r="R36" s="323"/>
      <c r="S36" s="323"/>
    </row>
    <row r="37" spans="1:207" s="318" customFormat="1" ht="25.5" x14ac:dyDescent="0.2">
      <c r="A37" s="355"/>
      <c r="B37" s="327" t="s">
        <v>363</v>
      </c>
      <c r="C37" s="356" t="str">
        <f>+'4. CC D'!B25</f>
        <v>Contratación de Firma Consultora para la Evaluación Final del Programa</v>
      </c>
      <c r="D37" s="358" t="str">
        <f>+'4. CC D'!A25</f>
        <v>2.2.2</v>
      </c>
      <c r="E37" s="327" t="str">
        <f>+'4. CC D'!F25</f>
        <v>SCC</v>
      </c>
      <c r="F37" s="358">
        <v>9</v>
      </c>
      <c r="G37" s="359">
        <f>+'4. CC D'!I25</f>
        <v>100000</v>
      </c>
      <c r="H37" s="346">
        <v>1</v>
      </c>
      <c r="I37" s="373">
        <v>0</v>
      </c>
      <c r="J37" s="361" t="s">
        <v>5</v>
      </c>
      <c r="K37" s="374" t="s">
        <v>334</v>
      </c>
      <c r="L37" s="349" t="str">
        <f>+'3. PEP'!D42</f>
        <v>T3 - Año 6</v>
      </c>
      <c r="M37" s="349" t="str">
        <f>+'3. PEP'!E42</f>
        <v>T2- Año 7</v>
      </c>
      <c r="N37" s="375"/>
      <c r="O37" s="376"/>
      <c r="P37" s="312"/>
      <c r="R37" s="323"/>
      <c r="S37" s="323"/>
    </row>
    <row r="38" spans="1:207" s="318" customFormat="1" ht="25.5" customHeight="1" x14ac:dyDescent="0.2">
      <c r="A38" s="355"/>
      <c r="B38" s="327" t="s">
        <v>363</v>
      </c>
      <c r="C38" s="356" t="str">
        <f>+'4. CC D'!B27</f>
        <v>Monitoreo y Evaluación Socio Ambiental</v>
      </c>
      <c r="D38" s="358" t="str">
        <f>+'4. CC D'!A27</f>
        <v>2.2.1</v>
      </c>
      <c r="E38" s="327" t="str">
        <f>+'4. CC D'!F27</f>
        <v>SCC</v>
      </c>
      <c r="F38" s="358">
        <v>10</v>
      </c>
      <c r="G38" s="359">
        <f>+'4. CC D'!I27</f>
        <v>250000</v>
      </c>
      <c r="H38" s="346">
        <v>1</v>
      </c>
      <c r="I38" s="373">
        <v>0</v>
      </c>
      <c r="J38" s="361" t="s">
        <v>5</v>
      </c>
      <c r="K38" s="374" t="s">
        <v>334</v>
      </c>
      <c r="L38" s="349" t="str">
        <f>+'3. PEP'!D44</f>
        <v>T4- Año 1</v>
      </c>
      <c r="M38" s="349" t="str">
        <f>+'3. PEP'!E44</f>
        <v>T2- Año 2</v>
      </c>
      <c r="N38" s="375"/>
      <c r="O38" s="376"/>
      <c r="P38" s="312"/>
      <c r="R38" s="323"/>
      <c r="S38" s="323"/>
    </row>
    <row r="39" spans="1:207" s="318" customFormat="1" x14ac:dyDescent="0.2">
      <c r="A39" s="368"/>
      <c r="B39" s="327" t="s">
        <v>363</v>
      </c>
      <c r="C39" s="356" t="str">
        <f>+'4. CC D'!B28</f>
        <v>Plan de Gestión Socio Ambiental</v>
      </c>
      <c r="D39" s="358" t="str">
        <f>+'4. CC D'!A28</f>
        <v>2.2.2</v>
      </c>
      <c r="E39" s="327" t="str">
        <f>+'4. CC D'!F28</f>
        <v>SBCC</v>
      </c>
      <c r="F39" s="358">
        <v>11</v>
      </c>
      <c r="G39" s="359">
        <f>+'4. CC D'!I28</f>
        <v>500000</v>
      </c>
      <c r="H39" s="346">
        <v>1</v>
      </c>
      <c r="I39" s="373">
        <v>0</v>
      </c>
      <c r="J39" s="361" t="s">
        <v>5</v>
      </c>
      <c r="K39" s="374" t="s">
        <v>334</v>
      </c>
      <c r="L39" s="349" t="str">
        <f>+'3. PEP'!D45</f>
        <v>T2 - Año 1</v>
      </c>
      <c r="M39" s="349" t="str">
        <f>+'3. PEP'!E45</f>
        <v>T1 - Año 2</v>
      </c>
      <c r="N39" s="375"/>
      <c r="O39" s="436"/>
      <c r="P39" s="312"/>
      <c r="R39" s="323"/>
      <c r="S39" s="323"/>
    </row>
    <row r="40" spans="1:207" s="318" customFormat="1" x14ac:dyDescent="0.2">
      <c r="A40" s="312"/>
      <c r="B40" s="515" t="s">
        <v>335</v>
      </c>
      <c r="C40" s="515"/>
      <c r="D40" s="515"/>
      <c r="E40" s="515"/>
      <c r="F40" s="515"/>
      <c r="G40" s="382">
        <f>SUM(G32:G39)</f>
        <v>9000000</v>
      </c>
      <c r="H40" s="383"/>
      <c r="I40" s="383"/>
      <c r="J40" s="383"/>
      <c r="K40" s="383"/>
      <c r="L40" s="384"/>
      <c r="M40" s="385"/>
      <c r="N40" s="517"/>
      <c r="O40" s="518"/>
      <c r="P40" s="320"/>
      <c r="Q40" s="321"/>
      <c r="R40" s="323" t="s">
        <v>315</v>
      </c>
      <c r="S40" s="321"/>
      <c r="T40" s="321"/>
      <c r="U40" s="321"/>
    </row>
    <row r="41" spans="1:207" x14ac:dyDescent="0.2">
      <c r="A41" s="368"/>
      <c r="B41" s="366"/>
      <c r="C41" s="386"/>
      <c r="D41" s="387"/>
      <c r="E41" s="368"/>
      <c r="F41" s="368"/>
      <c r="G41" s="369"/>
      <c r="H41" s="388"/>
      <c r="I41" s="388"/>
      <c r="J41" s="368"/>
      <c r="K41" s="368"/>
      <c r="L41" s="370"/>
      <c r="M41" s="389"/>
      <c r="O41" s="390"/>
      <c r="R41" s="323"/>
      <c r="S41" s="323"/>
    </row>
    <row r="42" spans="1:207" x14ac:dyDescent="0.2">
      <c r="B42" s="512" t="s">
        <v>336</v>
      </c>
      <c r="C42" s="519"/>
      <c r="D42" s="519"/>
      <c r="E42" s="519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R42" s="323" t="s">
        <v>337</v>
      </c>
      <c r="S42" s="323" t="s">
        <v>338</v>
      </c>
    </row>
    <row r="43" spans="1:207" x14ac:dyDescent="0.2">
      <c r="B43" s="512" t="s">
        <v>293</v>
      </c>
      <c r="C43" s="516" t="s">
        <v>294</v>
      </c>
      <c r="D43" s="516" t="s">
        <v>295</v>
      </c>
      <c r="E43" s="512" t="s">
        <v>319</v>
      </c>
      <c r="F43" s="512" t="s">
        <v>298</v>
      </c>
      <c r="G43" s="514" t="s">
        <v>299</v>
      </c>
      <c r="H43" s="514"/>
      <c r="I43" s="514"/>
      <c r="J43" s="512" t="s">
        <v>339</v>
      </c>
      <c r="K43" s="512" t="s">
        <v>300</v>
      </c>
      <c r="L43" s="513" t="s">
        <v>301</v>
      </c>
      <c r="M43" s="512" t="s">
        <v>302</v>
      </c>
      <c r="N43" s="512"/>
      <c r="O43" s="512" t="s">
        <v>303</v>
      </c>
      <c r="R43" s="323" t="s">
        <v>340</v>
      </c>
      <c r="S43" s="323" t="s">
        <v>341</v>
      </c>
    </row>
    <row r="44" spans="1:207" ht="51" x14ac:dyDescent="0.2">
      <c r="B44" s="512"/>
      <c r="C44" s="516"/>
      <c r="D44" s="516"/>
      <c r="E44" s="514"/>
      <c r="F44" s="512"/>
      <c r="G44" s="371" t="s">
        <v>305</v>
      </c>
      <c r="H44" s="324" t="s">
        <v>306</v>
      </c>
      <c r="I44" s="324" t="s">
        <v>307</v>
      </c>
      <c r="J44" s="512"/>
      <c r="K44" s="512"/>
      <c r="L44" s="514"/>
      <c r="M44" s="325" t="s">
        <v>342</v>
      </c>
      <c r="N44" s="324" t="s">
        <v>343</v>
      </c>
      <c r="O44" s="512"/>
      <c r="R44" s="323" t="s">
        <v>344</v>
      </c>
      <c r="S44" s="323" t="s">
        <v>341</v>
      </c>
    </row>
    <row r="45" spans="1:207" x14ac:dyDescent="0.2">
      <c r="B45" s="377"/>
      <c r="C45" s="378"/>
      <c r="D45" s="358"/>
      <c r="E45" s="379"/>
      <c r="F45" s="391"/>
      <c r="G45" s="380"/>
      <c r="H45" s="392"/>
      <c r="I45" s="393"/>
      <c r="J45" s="394"/>
      <c r="K45" s="395"/>
      <c r="L45" s="396"/>
      <c r="M45" s="397"/>
      <c r="N45" s="397"/>
      <c r="O45" s="330"/>
      <c r="R45" s="323"/>
      <c r="S45" s="323"/>
    </row>
    <row r="46" spans="1:207" s="399" customFormat="1" x14ac:dyDescent="0.2">
      <c r="A46" s="312"/>
      <c r="B46" s="377"/>
      <c r="C46" s="378"/>
      <c r="D46" s="358"/>
      <c r="E46" s="379"/>
      <c r="F46" s="391"/>
      <c r="G46" s="380"/>
      <c r="H46" s="392"/>
      <c r="I46" s="393"/>
      <c r="J46" s="394"/>
      <c r="K46" s="394"/>
      <c r="L46" s="398"/>
      <c r="M46" s="381"/>
      <c r="N46" s="381"/>
      <c r="O46" s="330"/>
      <c r="P46" s="312"/>
      <c r="Q46" s="318"/>
      <c r="R46" s="323"/>
      <c r="S46" s="323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318"/>
      <c r="DG46" s="318"/>
      <c r="DH46" s="318"/>
      <c r="DI46" s="318"/>
      <c r="DJ46" s="318"/>
      <c r="DK46" s="318"/>
      <c r="DL46" s="318"/>
      <c r="DM46" s="318"/>
      <c r="DN46" s="318"/>
      <c r="DO46" s="318"/>
      <c r="DP46" s="318"/>
      <c r="DQ46" s="318"/>
      <c r="DR46" s="318"/>
      <c r="DS46" s="318"/>
      <c r="DT46" s="318"/>
      <c r="DU46" s="318"/>
      <c r="DV46" s="318"/>
      <c r="DW46" s="318"/>
      <c r="DX46" s="318"/>
      <c r="DY46" s="318"/>
      <c r="DZ46" s="318"/>
      <c r="EA46" s="318"/>
      <c r="EB46" s="318"/>
      <c r="EC46" s="318"/>
      <c r="ED46" s="318"/>
      <c r="EE46" s="318"/>
      <c r="EF46" s="318"/>
      <c r="EG46" s="318"/>
      <c r="EH46" s="318"/>
      <c r="EI46" s="318"/>
      <c r="EJ46" s="318"/>
      <c r="EK46" s="318"/>
      <c r="EL46" s="318"/>
      <c r="EM46" s="318"/>
      <c r="EN46" s="318"/>
      <c r="EO46" s="318"/>
      <c r="EP46" s="318"/>
      <c r="EQ46" s="318"/>
      <c r="ER46" s="318"/>
      <c r="ES46" s="318"/>
      <c r="ET46" s="318"/>
      <c r="EU46" s="318"/>
      <c r="EV46" s="318"/>
      <c r="EW46" s="318"/>
      <c r="EX46" s="318"/>
      <c r="EY46" s="318"/>
      <c r="EZ46" s="318"/>
      <c r="FA46" s="318"/>
      <c r="FB46" s="318"/>
      <c r="FC46" s="318"/>
      <c r="FD46" s="318"/>
      <c r="FE46" s="318"/>
      <c r="FF46" s="318"/>
      <c r="FG46" s="318"/>
      <c r="FH46" s="318"/>
      <c r="FI46" s="318"/>
      <c r="FJ46" s="318"/>
      <c r="FK46" s="318"/>
      <c r="FL46" s="318"/>
      <c r="FM46" s="318"/>
      <c r="FN46" s="318"/>
      <c r="FO46" s="318"/>
      <c r="FP46" s="318"/>
      <c r="FQ46" s="318"/>
      <c r="FR46" s="318"/>
      <c r="FS46" s="318"/>
      <c r="FT46" s="318"/>
      <c r="FU46" s="318"/>
      <c r="FV46" s="318"/>
      <c r="FW46" s="318"/>
      <c r="FX46" s="318"/>
      <c r="FY46" s="318"/>
      <c r="FZ46" s="318"/>
      <c r="GA46" s="318"/>
      <c r="GB46" s="318"/>
      <c r="GC46" s="318"/>
      <c r="GD46" s="318"/>
      <c r="GE46" s="318"/>
      <c r="GF46" s="318"/>
      <c r="GG46" s="318"/>
      <c r="GH46" s="318"/>
      <c r="GI46" s="318"/>
      <c r="GJ46" s="318"/>
      <c r="GK46" s="318"/>
      <c r="GL46" s="318"/>
      <c r="GM46" s="318"/>
      <c r="GN46" s="318"/>
      <c r="GO46" s="318"/>
      <c r="GP46" s="318"/>
      <c r="GQ46" s="318"/>
      <c r="GR46" s="318"/>
      <c r="GS46" s="318"/>
      <c r="GT46" s="318"/>
      <c r="GU46" s="318"/>
      <c r="GV46" s="318"/>
      <c r="GW46" s="318"/>
      <c r="GX46" s="318"/>
      <c r="GY46" s="318"/>
    </row>
    <row r="47" spans="1:207" x14ac:dyDescent="0.2">
      <c r="B47" s="515" t="s">
        <v>345</v>
      </c>
      <c r="C47" s="515"/>
      <c r="D47" s="515"/>
      <c r="E47" s="515"/>
      <c r="F47" s="515"/>
      <c r="G47" s="382">
        <f>SUM(G45:G46)</f>
        <v>0</v>
      </c>
      <c r="H47" s="383"/>
      <c r="I47" s="383"/>
      <c r="J47" s="383"/>
      <c r="K47" s="383"/>
      <c r="L47" s="384"/>
      <c r="M47" s="384"/>
      <c r="N47" s="384"/>
      <c r="O47" s="384"/>
      <c r="R47" s="323" t="s">
        <v>346</v>
      </c>
      <c r="S47" s="323" t="s">
        <v>347</v>
      </c>
    </row>
    <row r="48" spans="1:207" x14ac:dyDescent="0.2">
      <c r="B48" s="390"/>
      <c r="C48" s="400"/>
      <c r="D48" s="401"/>
      <c r="E48" s="390"/>
      <c r="F48" s="390"/>
      <c r="G48" s="33"/>
      <c r="H48" s="390"/>
      <c r="I48" s="390"/>
      <c r="J48" s="390"/>
      <c r="K48" s="390"/>
      <c r="L48" s="402"/>
      <c r="M48" s="402"/>
      <c r="N48" s="401"/>
      <c r="O48" s="390"/>
      <c r="R48" s="323" t="s">
        <v>348</v>
      </c>
      <c r="S48" s="323" t="s">
        <v>349</v>
      </c>
    </row>
    <row r="49" spans="1:207" x14ac:dyDescent="0.2">
      <c r="B49" s="502" t="s">
        <v>376</v>
      </c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R49" s="323" t="s">
        <v>350</v>
      </c>
      <c r="S49" s="323" t="s">
        <v>349</v>
      </c>
    </row>
    <row r="50" spans="1:207" x14ac:dyDescent="0.2">
      <c r="B50" s="502" t="s">
        <v>293</v>
      </c>
      <c r="C50" s="509" t="s">
        <v>294</v>
      </c>
      <c r="D50" s="509" t="s">
        <v>295</v>
      </c>
      <c r="E50" s="502" t="s">
        <v>319</v>
      </c>
      <c r="F50" s="502" t="s">
        <v>298</v>
      </c>
      <c r="G50" s="510" t="s">
        <v>299</v>
      </c>
      <c r="H50" s="510"/>
      <c r="I50" s="510"/>
      <c r="J50" s="502" t="s">
        <v>300</v>
      </c>
      <c r="K50" s="502" t="s">
        <v>301</v>
      </c>
      <c r="L50" s="502" t="s">
        <v>302</v>
      </c>
      <c r="M50" s="502"/>
      <c r="N50" s="502" t="s">
        <v>303</v>
      </c>
      <c r="O50" s="502"/>
      <c r="R50" s="323"/>
      <c r="S50" s="323" t="s">
        <v>351</v>
      </c>
    </row>
    <row r="51" spans="1:207" ht="51" x14ac:dyDescent="0.2">
      <c r="B51" s="502"/>
      <c r="C51" s="509"/>
      <c r="D51" s="509"/>
      <c r="E51" s="510"/>
      <c r="F51" s="502"/>
      <c r="G51" s="403" t="s">
        <v>305</v>
      </c>
      <c r="H51" s="404" t="s">
        <v>306</v>
      </c>
      <c r="I51" s="404" t="s">
        <v>307</v>
      </c>
      <c r="J51" s="502"/>
      <c r="K51" s="511"/>
      <c r="L51" s="440" t="s">
        <v>332</v>
      </c>
      <c r="M51" s="372" t="s">
        <v>309</v>
      </c>
      <c r="N51" s="502"/>
      <c r="O51" s="502"/>
      <c r="R51" s="323"/>
      <c r="S51" s="323" t="s">
        <v>351</v>
      </c>
    </row>
    <row r="52" spans="1:207" s="318" customFormat="1" x14ac:dyDescent="0.2">
      <c r="A52" s="406"/>
      <c r="B52" s="327" t="s">
        <v>363</v>
      </c>
      <c r="C52" s="343" t="str">
        <f>+'4. CC D'!B29</f>
        <v>Pagos por Servicios Ambientales</v>
      </c>
      <c r="D52" s="407" t="s">
        <v>107</v>
      </c>
      <c r="E52" s="408"/>
      <c r="F52" s="358">
        <v>12</v>
      </c>
      <c r="G52" s="409">
        <f>+'4. CC D'!I29</f>
        <v>700000</v>
      </c>
      <c r="H52" s="410">
        <v>1</v>
      </c>
      <c r="I52" s="411">
        <v>0</v>
      </c>
      <c r="J52" s="361" t="s">
        <v>5</v>
      </c>
      <c r="K52" s="374" t="s">
        <v>334</v>
      </c>
      <c r="L52" s="412" t="s">
        <v>377</v>
      </c>
      <c r="M52" s="412" t="s">
        <v>378</v>
      </c>
      <c r="N52" s="506"/>
      <c r="O52" s="507"/>
      <c r="P52" s="341"/>
      <c r="R52" s="323"/>
      <c r="S52" s="323"/>
    </row>
    <row r="53" spans="1:207" x14ac:dyDescent="0.2">
      <c r="A53" s="413"/>
      <c r="B53" s="504" t="s">
        <v>375</v>
      </c>
      <c r="C53" s="504"/>
      <c r="D53" s="504"/>
      <c r="E53" s="504"/>
      <c r="F53" s="504"/>
      <c r="G53" s="414">
        <f>SUM(G52:G52)</f>
        <v>700000</v>
      </c>
      <c r="H53" s="415"/>
      <c r="I53" s="415"/>
      <c r="J53" s="415"/>
      <c r="K53" s="415"/>
      <c r="L53" s="416"/>
      <c r="M53" s="416"/>
      <c r="N53" s="508"/>
      <c r="O53" s="508"/>
      <c r="R53" s="323" t="s">
        <v>353</v>
      </c>
      <c r="S53" s="323" t="s">
        <v>338</v>
      </c>
    </row>
    <row r="54" spans="1:207" x14ac:dyDescent="0.2">
      <c r="B54" s="390"/>
      <c r="C54" s="400"/>
      <c r="D54" s="401"/>
      <c r="E54" s="390"/>
      <c r="F54" s="390"/>
      <c r="G54" s="33"/>
      <c r="H54" s="390"/>
      <c r="I54" s="390"/>
      <c r="J54" s="390"/>
      <c r="K54" s="390"/>
      <c r="L54" s="402"/>
      <c r="M54" s="402"/>
      <c r="N54" s="401"/>
      <c r="O54" s="390"/>
      <c r="R54" s="323" t="s">
        <v>354</v>
      </c>
      <c r="S54" s="323" t="s">
        <v>338</v>
      </c>
    </row>
    <row r="55" spans="1:207" x14ac:dyDescent="0.2">
      <c r="B55" s="502" t="s">
        <v>355</v>
      </c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R55" s="323" t="s">
        <v>356</v>
      </c>
      <c r="S55" s="323" t="s">
        <v>338</v>
      </c>
    </row>
    <row r="56" spans="1:207" ht="38.25" x14ac:dyDescent="0.2">
      <c r="B56" s="502" t="s">
        <v>293</v>
      </c>
      <c r="C56" s="509" t="s">
        <v>357</v>
      </c>
      <c r="D56" s="509" t="s">
        <v>295</v>
      </c>
      <c r="E56" s="502" t="s">
        <v>298</v>
      </c>
      <c r="F56" s="502"/>
      <c r="G56" s="510" t="s">
        <v>299</v>
      </c>
      <c r="H56" s="510"/>
      <c r="I56" s="510"/>
      <c r="J56" s="502" t="s">
        <v>300</v>
      </c>
      <c r="K56" s="404" t="s">
        <v>358</v>
      </c>
      <c r="L56" s="502" t="s">
        <v>302</v>
      </c>
      <c r="M56" s="502"/>
      <c r="N56" s="503" t="s">
        <v>303</v>
      </c>
      <c r="O56" s="503"/>
      <c r="R56" s="323" t="s">
        <v>359</v>
      </c>
      <c r="S56" s="323" t="s">
        <v>338</v>
      </c>
    </row>
    <row r="57" spans="1:207" s="417" customFormat="1" ht="51" x14ac:dyDescent="0.2">
      <c r="A57" s="312"/>
      <c r="B57" s="502"/>
      <c r="C57" s="509"/>
      <c r="D57" s="509"/>
      <c r="E57" s="502"/>
      <c r="F57" s="502"/>
      <c r="G57" s="404" t="s">
        <v>305</v>
      </c>
      <c r="H57" s="403" t="s">
        <v>306</v>
      </c>
      <c r="I57" s="404" t="s">
        <v>307</v>
      </c>
      <c r="J57" s="502"/>
      <c r="K57" s="404"/>
      <c r="L57" s="404" t="s">
        <v>360</v>
      </c>
      <c r="M57" s="405" t="s">
        <v>361</v>
      </c>
      <c r="N57" s="503"/>
      <c r="O57" s="503"/>
      <c r="Q57" s="318"/>
      <c r="R57" s="322"/>
      <c r="S57" s="322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  <c r="DR57" s="318"/>
      <c r="DS57" s="318"/>
      <c r="DT57" s="318"/>
      <c r="DU57" s="318"/>
      <c r="DV57" s="318"/>
      <c r="DW57" s="318"/>
      <c r="DX57" s="318"/>
      <c r="DY57" s="318"/>
      <c r="DZ57" s="318"/>
      <c r="EA57" s="318"/>
      <c r="EB57" s="318"/>
      <c r="EC57" s="318"/>
      <c r="ED57" s="318"/>
      <c r="EE57" s="318"/>
      <c r="EF57" s="318"/>
      <c r="EG57" s="318"/>
      <c r="EH57" s="318"/>
      <c r="EI57" s="318"/>
      <c r="EJ57" s="318"/>
      <c r="EK57" s="318"/>
      <c r="EL57" s="318"/>
      <c r="EM57" s="318"/>
      <c r="EN57" s="318"/>
      <c r="EO57" s="318"/>
      <c r="EP57" s="318"/>
      <c r="EQ57" s="318"/>
      <c r="ER57" s="318"/>
      <c r="ES57" s="318"/>
      <c r="ET57" s="318"/>
      <c r="EU57" s="318"/>
      <c r="EV57" s="318"/>
      <c r="EW57" s="318"/>
      <c r="EX57" s="318"/>
      <c r="EY57" s="318"/>
      <c r="EZ57" s="318"/>
      <c r="FA57" s="318"/>
      <c r="FB57" s="318"/>
      <c r="FC57" s="318"/>
      <c r="FD57" s="318"/>
      <c r="FE57" s="318"/>
      <c r="FF57" s="318"/>
      <c r="FG57" s="318"/>
      <c r="FH57" s="318"/>
      <c r="FI57" s="318"/>
      <c r="FJ57" s="318"/>
      <c r="FK57" s="318"/>
      <c r="FL57" s="318"/>
      <c r="FM57" s="318"/>
      <c r="FN57" s="318"/>
      <c r="FO57" s="318"/>
      <c r="FP57" s="318"/>
      <c r="FQ57" s="318"/>
      <c r="FR57" s="318"/>
      <c r="FS57" s="318"/>
      <c r="FT57" s="318"/>
      <c r="FU57" s="318"/>
      <c r="FV57" s="318"/>
      <c r="FW57" s="318"/>
      <c r="FX57" s="318"/>
      <c r="FY57" s="318"/>
      <c r="FZ57" s="318"/>
      <c r="GA57" s="318"/>
      <c r="GB57" s="318"/>
      <c r="GC57" s="318"/>
      <c r="GD57" s="318"/>
      <c r="GE57" s="318"/>
      <c r="GF57" s="318"/>
      <c r="GG57" s="318"/>
      <c r="GH57" s="318"/>
      <c r="GI57" s="318"/>
      <c r="GJ57" s="318"/>
      <c r="GK57" s="318"/>
      <c r="GL57" s="318"/>
      <c r="GM57" s="318"/>
      <c r="GN57" s="318"/>
      <c r="GO57" s="318"/>
      <c r="GP57" s="318"/>
      <c r="GQ57" s="318"/>
      <c r="GR57" s="318"/>
      <c r="GS57" s="318"/>
      <c r="GT57" s="318"/>
      <c r="GU57" s="318"/>
      <c r="GV57" s="318"/>
      <c r="GW57" s="318"/>
      <c r="GX57" s="318"/>
      <c r="GY57" s="318"/>
    </row>
    <row r="58" spans="1:207" s="341" customFormat="1" x14ac:dyDescent="0.2">
      <c r="B58" s="418"/>
      <c r="C58" s="343"/>
      <c r="D58" s="408"/>
      <c r="E58" s="419"/>
      <c r="F58" s="420"/>
      <c r="G58" s="421"/>
      <c r="H58" s="422"/>
      <c r="I58" s="423"/>
      <c r="J58" s="424"/>
      <c r="K58" s="425"/>
      <c r="L58" s="426"/>
      <c r="M58" s="426"/>
      <c r="N58" s="427"/>
      <c r="O58" s="428"/>
      <c r="P58" s="318"/>
      <c r="Q58" s="318"/>
      <c r="R58" s="323"/>
      <c r="S58" s="323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  <c r="DQ58" s="318"/>
      <c r="DR58" s="318"/>
      <c r="DS58" s="318"/>
      <c r="DT58" s="318"/>
      <c r="DU58" s="318"/>
      <c r="DV58" s="318"/>
      <c r="DW58" s="318"/>
      <c r="DX58" s="318"/>
      <c r="DY58" s="318"/>
      <c r="DZ58" s="318"/>
      <c r="EA58" s="318"/>
      <c r="EB58" s="318"/>
      <c r="EC58" s="318"/>
      <c r="ED58" s="318"/>
      <c r="EE58" s="318"/>
      <c r="EF58" s="318"/>
      <c r="EG58" s="318"/>
      <c r="EH58" s="318"/>
      <c r="EI58" s="318"/>
      <c r="EJ58" s="318"/>
      <c r="EK58" s="318"/>
      <c r="EL58" s="318"/>
      <c r="EM58" s="318"/>
      <c r="EN58" s="318"/>
      <c r="EO58" s="318"/>
      <c r="EP58" s="318"/>
      <c r="EQ58" s="318"/>
      <c r="ER58" s="318"/>
      <c r="ES58" s="318"/>
      <c r="ET58" s="318"/>
      <c r="EU58" s="318"/>
      <c r="EV58" s="318"/>
      <c r="EW58" s="318"/>
      <c r="EX58" s="318"/>
      <c r="EY58" s="318"/>
      <c r="EZ58" s="318"/>
      <c r="FA58" s="318"/>
      <c r="FB58" s="318"/>
      <c r="FC58" s="318"/>
      <c r="FD58" s="318"/>
      <c r="FE58" s="318"/>
      <c r="FF58" s="318"/>
      <c r="FG58" s="318"/>
      <c r="FH58" s="318"/>
      <c r="FI58" s="318"/>
      <c r="FJ58" s="318"/>
      <c r="FK58" s="318"/>
      <c r="FL58" s="318"/>
      <c r="FM58" s="318"/>
      <c r="FN58" s="318"/>
      <c r="FO58" s="318"/>
      <c r="FP58" s="318"/>
      <c r="FQ58" s="318"/>
      <c r="FR58" s="318"/>
      <c r="FS58" s="318"/>
      <c r="FT58" s="318"/>
      <c r="FU58" s="318"/>
      <c r="FV58" s="318"/>
      <c r="FW58" s="318"/>
      <c r="FX58" s="318"/>
      <c r="FY58" s="318"/>
      <c r="FZ58" s="318"/>
      <c r="GA58" s="318"/>
      <c r="GB58" s="318"/>
      <c r="GC58" s="318"/>
      <c r="GD58" s="318"/>
      <c r="GE58" s="318"/>
      <c r="GF58" s="318"/>
      <c r="GG58" s="318"/>
      <c r="GH58" s="318"/>
      <c r="GI58" s="318"/>
      <c r="GJ58" s="318"/>
      <c r="GK58" s="318"/>
      <c r="GL58" s="318"/>
      <c r="GM58" s="318"/>
      <c r="GN58" s="318"/>
      <c r="GO58" s="318"/>
      <c r="GP58" s="318"/>
      <c r="GQ58" s="318"/>
      <c r="GR58" s="318"/>
      <c r="GS58" s="318"/>
      <c r="GT58" s="318"/>
      <c r="GU58" s="318"/>
      <c r="GV58" s="318"/>
      <c r="GW58" s="318"/>
      <c r="GX58" s="318"/>
      <c r="GY58" s="318"/>
    </row>
    <row r="59" spans="1:207" x14ac:dyDescent="0.2">
      <c r="B59" s="504" t="s">
        <v>362</v>
      </c>
      <c r="C59" s="504"/>
      <c r="D59" s="504"/>
      <c r="E59" s="504"/>
      <c r="F59" s="504"/>
      <c r="G59" s="429">
        <f>SUM(G58:G58)</f>
        <v>0</v>
      </c>
      <c r="H59" s="415"/>
      <c r="I59" s="415"/>
      <c r="J59" s="415"/>
      <c r="K59" s="415"/>
      <c r="L59" s="416"/>
      <c r="M59" s="416"/>
      <c r="N59" s="505"/>
      <c r="O59" s="505"/>
      <c r="R59" s="322"/>
      <c r="S59" s="323"/>
    </row>
    <row r="60" spans="1:207" x14ac:dyDescent="0.2">
      <c r="R60" s="322"/>
      <c r="S60" s="322"/>
    </row>
    <row r="61" spans="1:207" x14ac:dyDescent="0.2">
      <c r="L61" s="312"/>
      <c r="M61" s="312"/>
      <c r="N61" s="312"/>
      <c r="Q61" s="312"/>
      <c r="R61" s="312"/>
      <c r="S61" s="312"/>
      <c r="T61" s="312"/>
      <c r="U61" s="312"/>
      <c r="V61" s="312"/>
      <c r="W61" s="312"/>
      <c r="X61" s="312"/>
      <c r="Y61" s="312"/>
    </row>
    <row r="62" spans="1:207" x14ac:dyDescent="0.2">
      <c r="L62" s="312"/>
      <c r="M62" s="312"/>
      <c r="N62" s="312"/>
      <c r="Q62" s="312"/>
      <c r="R62" s="312"/>
      <c r="S62" s="312"/>
      <c r="T62" s="312"/>
      <c r="U62" s="312"/>
      <c r="V62" s="312"/>
      <c r="W62" s="312"/>
      <c r="X62" s="312"/>
      <c r="Y62" s="312"/>
    </row>
    <row r="63" spans="1:207" s="318" customFormat="1" x14ac:dyDescent="0.2">
      <c r="A63" s="312"/>
      <c r="C63" s="314"/>
      <c r="D63" s="501" t="s">
        <v>314</v>
      </c>
      <c r="E63" s="501"/>
      <c r="F63" s="501"/>
      <c r="G63" s="430">
        <f>H15</f>
        <v>80300000</v>
      </c>
      <c r="H63" s="431">
        <f t="shared" ref="H63:H69" si="1">G63/$G$70</f>
        <v>0.89222222222222225</v>
      </c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</row>
    <row r="64" spans="1:207" s="318" customFormat="1" x14ac:dyDescent="0.2">
      <c r="A64" s="312"/>
      <c r="C64" s="314"/>
      <c r="D64" s="501" t="s">
        <v>321</v>
      </c>
      <c r="E64" s="501"/>
      <c r="F64" s="501"/>
      <c r="G64" s="430">
        <f>H21</f>
        <v>0</v>
      </c>
      <c r="H64" s="431">
        <f t="shared" si="1"/>
        <v>0</v>
      </c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</row>
    <row r="65" spans="1:25" s="318" customFormat="1" ht="12.75" customHeight="1" x14ac:dyDescent="0.2">
      <c r="A65" s="312"/>
      <c r="C65" s="314"/>
      <c r="D65" s="501" t="s">
        <v>327</v>
      </c>
      <c r="E65" s="501"/>
      <c r="F65" s="501"/>
      <c r="G65" s="430">
        <f>H27</f>
        <v>0</v>
      </c>
      <c r="H65" s="431">
        <f t="shared" si="1"/>
        <v>0</v>
      </c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</row>
    <row r="66" spans="1:25" s="318" customFormat="1" x14ac:dyDescent="0.2">
      <c r="A66" s="312"/>
      <c r="C66" s="314"/>
      <c r="D66" s="501" t="s">
        <v>335</v>
      </c>
      <c r="E66" s="501"/>
      <c r="F66" s="501"/>
      <c r="G66" s="430">
        <f>G40</f>
        <v>9000000</v>
      </c>
      <c r="H66" s="431">
        <f t="shared" si="1"/>
        <v>0.1</v>
      </c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</row>
    <row r="67" spans="1:25" x14ac:dyDescent="0.2">
      <c r="D67" s="501" t="s">
        <v>345</v>
      </c>
      <c r="E67" s="501"/>
      <c r="F67" s="501"/>
      <c r="G67" s="430">
        <f>G47</f>
        <v>0</v>
      </c>
      <c r="H67" s="431">
        <f t="shared" si="1"/>
        <v>0</v>
      </c>
      <c r="L67" s="312"/>
      <c r="M67" s="312"/>
      <c r="N67" s="312"/>
      <c r="Q67" s="312"/>
      <c r="R67" s="312"/>
      <c r="S67" s="312"/>
      <c r="T67" s="312"/>
      <c r="U67" s="312"/>
      <c r="V67" s="312"/>
      <c r="W67" s="312"/>
      <c r="X67" s="312"/>
      <c r="Y67" s="312"/>
    </row>
    <row r="68" spans="1:25" x14ac:dyDescent="0.2">
      <c r="A68" s="413"/>
      <c r="D68" s="501" t="s">
        <v>352</v>
      </c>
      <c r="E68" s="501"/>
      <c r="F68" s="501"/>
      <c r="G68" s="430"/>
      <c r="H68" s="431">
        <f t="shared" si="1"/>
        <v>0</v>
      </c>
      <c r="L68" s="312"/>
      <c r="M68" s="312"/>
      <c r="N68" s="312"/>
      <c r="Q68" s="312"/>
      <c r="R68" s="312"/>
      <c r="S68" s="312"/>
      <c r="T68" s="312"/>
      <c r="U68" s="312"/>
      <c r="V68" s="312"/>
      <c r="W68" s="312"/>
      <c r="X68" s="312"/>
      <c r="Y68" s="312"/>
    </row>
    <row r="69" spans="1:25" x14ac:dyDescent="0.2">
      <c r="D69" s="501" t="s">
        <v>374</v>
      </c>
      <c r="E69" s="501"/>
      <c r="F69" s="501"/>
      <c r="G69" s="430">
        <f>+'4. CC D'!I29</f>
        <v>700000</v>
      </c>
      <c r="H69" s="431">
        <f t="shared" si="1"/>
        <v>7.7777777777777776E-3</v>
      </c>
      <c r="L69" s="312"/>
      <c r="M69" s="312"/>
      <c r="N69" s="312"/>
      <c r="Q69" s="312"/>
      <c r="R69" s="312"/>
      <c r="S69" s="312"/>
      <c r="T69" s="312"/>
      <c r="U69" s="312"/>
      <c r="V69" s="312"/>
      <c r="W69" s="312"/>
      <c r="X69" s="312"/>
      <c r="Y69" s="312"/>
    </row>
    <row r="70" spans="1:25" x14ac:dyDescent="0.2">
      <c r="D70" s="500"/>
      <c r="E70" s="500"/>
      <c r="F70" s="500"/>
      <c r="G70" s="432">
        <f>SUM(G63:G69)</f>
        <v>90000000</v>
      </c>
      <c r="H70" s="433">
        <f>SUM(H63:H69)</f>
        <v>1</v>
      </c>
      <c r="L70" s="312"/>
      <c r="M70" s="312"/>
      <c r="N70" s="312"/>
      <c r="Q70" s="312"/>
      <c r="R70" s="312"/>
      <c r="S70" s="312"/>
      <c r="T70" s="312"/>
      <c r="U70" s="312"/>
      <c r="V70" s="312"/>
      <c r="W70" s="312"/>
      <c r="X70" s="312"/>
      <c r="Y70" s="312"/>
    </row>
  </sheetData>
  <mergeCells count="102">
    <mergeCell ref="B8:O8"/>
    <mergeCell ref="B9:O9"/>
    <mergeCell ref="B10:B11"/>
    <mergeCell ref="C10:C11"/>
    <mergeCell ref="D10:D11"/>
    <mergeCell ref="E10:E11"/>
    <mergeCell ref="F10:F11"/>
    <mergeCell ref="G10:G11"/>
    <mergeCell ref="H10:J10"/>
    <mergeCell ref="K10:K11"/>
    <mergeCell ref="G18:G19"/>
    <mergeCell ref="H18:J18"/>
    <mergeCell ref="K18:K19"/>
    <mergeCell ref="L18:L19"/>
    <mergeCell ref="M18:N18"/>
    <mergeCell ref="O18:O19"/>
    <mergeCell ref="L10:L11"/>
    <mergeCell ref="M10:N10"/>
    <mergeCell ref="O10:O11"/>
    <mergeCell ref="B15:G15"/>
    <mergeCell ref="B17:O17"/>
    <mergeCell ref="B18:B19"/>
    <mergeCell ref="C18:C19"/>
    <mergeCell ref="D18:D19"/>
    <mergeCell ref="E18:E19"/>
    <mergeCell ref="F18:F19"/>
    <mergeCell ref="B21:G21"/>
    <mergeCell ref="B23:O23"/>
    <mergeCell ref="B24:B25"/>
    <mergeCell ref="C24:C25"/>
    <mergeCell ref="D24:D25"/>
    <mergeCell ref="E24:E25"/>
    <mergeCell ref="F24:F25"/>
    <mergeCell ref="G24:G25"/>
    <mergeCell ref="H24:J24"/>
    <mergeCell ref="K24:K25"/>
    <mergeCell ref="L24:L25"/>
    <mergeCell ref="M24:N24"/>
    <mergeCell ref="O24:O25"/>
    <mergeCell ref="B27:G27"/>
    <mergeCell ref="B29:O29"/>
    <mergeCell ref="B30:B31"/>
    <mergeCell ref="C30:C31"/>
    <mergeCell ref="D30:D31"/>
    <mergeCell ref="E30:E31"/>
    <mergeCell ref="F30:F31"/>
    <mergeCell ref="N33:O33"/>
    <mergeCell ref="N34:O34"/>
    <mergeCell ref="B40:F40"/>
    <mergeCell ref="N40:O40"/>
    <mergeCell ref="B42:O42"/>
    <mergeCell ref="G30:I30"/>
    <mergeCell ref="J30:J31"/>
    <mergeCell ref="K30:K31"/>
    <mergeCell ref="L30:M30"/>
    <mergeCell ref="N30:O31"/>
    <mergeCell ref="N32:O32"/>
    <mergeCell ref="J43:J44"/>
    <mergeCell ref="K43:K44"/>
    <mergeCell ref="L43:L44"/>
    <mergeCell ref="M43:N43"/>
    <mergeCell ref="O43:O44"/>
    <mergeCell ref="B47:F47"/>
    <mergeCell ref="B43:B44"/>
    <mergeCell ref="C43:C44"/>
    <mergeCell ref="D43:D44"/>
    <mergeCell ref="E43:E44"/>
    <mergeCell ref="F43:F44"/>
    <mergeCell ref="G43:I43"/>
    <mergeCell ref="B49:O49"/>
    <mergeCell ref="B50:B51"/>
    <mergeCell ref="C50:C51"/>
    <mergeCell ref="D50:D51"/>
    <mergeCell ref="E50:E51"/>
    <mergeCell ref="F50:F51"/>
    <mergeCell ref="G50:I50"/>
    <mergeCell ref="J50:J51"/>
    <mergeCell ref="K50:K51"/>
    <mergeCell ref="L50:M50"/>
    <mergeCell ref="N56:O57"/>
    <mergeCell ref="B59:F59"/>
    <mergeCell ref="N59:O59"/>
    <mergeCell ref="D63:F63"/>
    <mergeCell ref="N50:O51"/>
    <mergeCell ref="N52:O52"/>
    <mergeCell ref="B53:F53"/>
    <mergeCell ref="N53:O53"/>
    <mergeCell ref="B55:O55"/>
    <mergeCell ref="B56:B57"/>
    <mergeCell ref="C56:C57"/>
    <mergeCell ref="D56:D57"/>
    <mergeCell ref="E56:F57"/>
    <mergeCell ref="G56:I56"/>
    <mergeCell ref="D70:F70"/>
    <mergeCell ref="D64:F64"/>
    <mergeCell ref="D65:F65"/>
    <mergeCell ref="D66:F66"/>
    <mergeCell ref="D67:F67"/>
    <mergeCell ref="D68:F68"/>
    <mergeCell ref="D69:F69"/>
    <mergeCell ref="J56:J57"/>
    <mergeCell ref="L56:M56"/>
  </mergeCells>
  <dataValidations disablePrompts="1" count="4">
    <dataValidation type="list" allowBlank="1" showInputMessage="1" showErrorMessage="1" sqref="E28 E12:E14">
      <formula1>$R$20:$R$25</formula1>
    </dataValidation>
    <dataValidation type="list" allowBlank="1" showInputMessage="1" showErrorMessage="1" sqref="E41">
      <formula1>$R$28:$R$31</formula1>
    </dataValidation>
    <dataValidation type="list" allowBlank="1" showInputMessage="1" showErrorMessage="1" sqref="L47 K53 K41 L40 L21 L27:L28 L12:L15">
      <formula1>$R$10:$R$11</formula1>
    </dataValidation>
    <dataValidation type="list" allowBlank="1" showInputMessage="1" showErrorMessage="1" sqref="E45:E46">
      <formula1>#REF!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zoomScale="70" zoomScaleNormal="70" workbookViewId="0">
      <selection activeCell="D8" sqref="D8"/>
    </sheetView>
  </sheetViews>
  <sheetFormatPr defaultColWidth="9.140625" defaultRowHeight="12" x14ac:dyDescent="0.2"/>
  <cols>
    <col min="1" max="1" width="8.42578125" style="185" customWidth="1"/>
    <col min="2" max="2" width="14.42578125" style="195" customWidth="1"/>
    <col min="3" max="3" width="15.42578125" style="193" customWidth="1"/>
    <col min="4" max="4" width="16.42578125" style="193" customWidth="1"/>
    <col min="5" max="5" width="16.140625" style="193" customWidth="1"/>
    <col min="6" max="6" width="13.7109375" style="185" customWidth="1"/>
    <col min="7" max="7" width="18.85546875" style="185" customWidth="1"/>
    <col min="8" max="8" width="15.7109375" style="190" customWidth="1"/>
    <col min="9" max="10" width="16.5703125" style="185" customWidth="1"/>
    <col min="11" max="11" width="13.140625" style="185" bestFit="1" customWidth="1"/>
    <col min="12" max="12" width="13.42578125" style="185" customWidth="1"/>
    <col min="13" max="13" width="14.7109375" style="185" customWidth="1"/>
    <col min="14" max="14" width="14.7109375" style="185" bestFit="1" customWidth="1"/>
    <col min="15" max="19" width="14.42578125" style="185" customWidth="1"/>
    <col min="20" max="20" width="14.85546875" style="185" bestFit="1" customWidth="1"/>
    <col min="21" max="21" width="10.85546875" style="185" bestFit="1" customWidth="1"/>
    <col min="22" max="22" width="9.140625" style="185"/>
    <col min="23" max="23" width="10.28515625" style="185" bestFit="1" customWidth="1"/>
    <col min="24" max="26" width="9.140625" style="185"/>
    <col min="27" max="27" width="10" style="185" bestFit="1" customWidth="1"/>
    <col min="28" max="256" width="9.140625" style="185"/>
    <col min="257" max="257" width="8.42578125" style="185" customWidth="1"/>
    <col min="258" max="258" width="14.42578125" style="185" customWidth="1"/>
    <col min="259" max="259" width="15.42578125" style="185" customWidth="1"/>
    <col min="260" max="260" width="16.42578125" style="185" customWidth="1"/>
    <col min="261" max="261" width="16.140625" style="185" customWidth="1"/>
    <col min="262" max="262" width="13.7109375" style="185" customWidth="1"/>
    <col min="263" max="263" width="18.85546875" style="185" customWidth="1"/>
    <col min="264" max="264" width="15.7109375" style="185" customWidth="1"/>
    <col min="265" max="266" width="16.5703125" style="185" customWidth="1"/>
    <col min="267" max="267" width="13.140625" style="185" bestFit="1" customWidth="1"/>
    <col min="268" max="268" width="13.42578125" style="185" customWidth="1"/>
    <col min="269" max="269" width="14.7109375" style="185" customWidth="1"/>
    <col min="270" max="270" width="14.7109375" style="185" bestFit="1" customWidth="1"/>
    <col min="271" max="275" width="14.42578125" style="185" customWidth="1"/>
    <col min="276" max="276" width="14.85546875" style="185" bestFit="1" customWidth="1"/>
    <col min="277" max="277" width="10.85546875" style="185" bestFit="1" customWidth="1"/>
    <col min="278" max="512" width="9.140625" style="185"/>
    <col min="513" max="513" width="8.42578125" style="185" customWidth="1"/>
    <col min="514" max="514" width="14.42578125" style="185" customWidth="1"/>
    <col min="515" max="515" width="15.42578125" style="185" customWidth="1"/>
    <col min="516" max="516" width="16.42578125" style="185" customWidth="1"/>
    <col min="517" max="517" width="16.140625" style="185" customWidth="1"/>
    <col min="518" max="518" width="13.7109375" style="185" customWidth="1"/>
    <col min="519" max="519" width="18.85546875" style="185" customWidth="1"/>
    <col min="520" max="520" width="15.7109375" style="185" customWidth="1"/>
    <col min="521" max="522" width="16.5703125" style="185" customWidth="1"/>
    <col min="523" max="523" width="13.140625" style="185" bestFit="1" customWidth="1"/>
    <col min="524" max="524" width="13.42578125" style="185" customWidth="1"/>
    <col min="525" max="525" width="14.7109375" style="185" customWidth="1"/>
    <col min="526" max="526" width="14.7109375" style="185" bestFit="1" customWidth="1"/>
    <col min="527" max="531" width="14.42578125" style="185" customWidth="1"/>
    <col min="532" max="532" width="14.85546875" style="185" bestFit="1" customWidth="1"/>
    <col min="533" max="533" width="10.85546875" style="185" bestFit="1" customWidth="1"/>
    <col min="534" max="768" width="9.140625" style="185"/>
    <col min="769" max="769" width="8.42578125" style="185" customWidth="1"/>
    <col min="770" max="770" width="14.42578125" style="185" customWidth="1"/>
    <col min="771" max="771" width="15.42578125" style="185" customWidth="1"/>
    <col min="772" max="772" width="16.42578125" style="185" customWidth="1"/>
    <col min="773" max="773" width="16.140625" style="185" customWidth="1"/>
    <col min="774" max="774" width="13.7109375" style="185" customWidth="1"/>
    <col min="775" max="775" width="18.85546875" style="185" customWidth="1"/>
    <col min="776" max="776" width="15.7109375" style="185" customWidth="1"/>
    <col min="777" max="778" width="16.5703125" style="185" customWidth="1"/>
    <col min="779" max="779" width="13.140625" style="185" bestFit="1" customWidth="1"/>
    <col min="780" max="780" width="13.42578125" style="185" customWidth="1"/>
    <col min="781" max="781" width="14.7109375" style="185" customWidth="1"/>
    <col min="782" max="782" width="14.7109375" style="185" bestFit="1" customWidth="1"/>
    <col min="783" max="787" width="14.42578125" style="185" customWidth="1"/>
    <col min="788" max="788" width="14.85546875" style="185" bestFit="1" customWidth="1"/>
    <col min="789" max="789" width="10.85546875" style="185" bestFit="1" customWidth="1"/>
    <col min="790" max="1024" width="9.140625" style="185"/>
    <col min="1025" max="1025" width="8.42578125" style="185" customWidth="1"/>
    <col min="1026" max="1026" width="14.42578125" style="185" customWidth="1"/>
    <col min="1027" max="1027" width="15.42578125" style="185" customWidth="1"/>
    <col min="1028" max="1028" width="16.42578125" style="185" customWidth="1"/>
    <col min="1029" max="1029" width="16.140625" style="185" customWidth="1"/>
    <col min="1030" max="1030" width="13.7109375" style="185" customWidth="1"/>
    <col min="1031" max="1031" width="18.85546875" style="185" customWidth="1"/>
    <col min="1032" max="1032" width="15.7109375" style="185" customWidth="1"/>
    <col min="1033" max="1034" width="16.5703125" style="185" customWidth="1"/>
    <col min="1035" max="1035" width="13.140625" style="185" bestFit="1" customWidth="1"/>
    <col min="1036" max="1036" width="13.42578125" style="185" customWidth="1"/>
    <col min="1037" max="1037" width="14.7109375" style="185" customWidth="1"/>
    <col min="1038" max="1038" width="14.7109375" style="185" bestFit="1" customWidth="1"/>
    <col min="1039" max="1043" width="14.42578125" style="185" customWidth="1"/>
    <col min="1044" max="1044" width="14.85546875" style="185" bestFit="1" customWidth="1"/>
    <col min="1045" max="1045" width="10.85546875" style="185" bestFit="1" customWidth="1"/>
    <col min="1046" max="1280" width="9.140625" style="185"/>
    <col min="1281" max="1281" width="8.42578125" style="185" customWidth="1"/>
    <col min="1282" max="1282" width="14.42578125" style="185" customWidth="1"/>
    <col min="1283" max="1283" width="15.42578125" style="185" customWidth="1"/>
    <col min="1284" max="1284" width="16.42578125" style="185" customWidth="1"/>
    <col min="1285" max="1285" width="16.140625" style="185" customWidth="1"/>
    <col min="1286" max="1286" width="13.7109375" style="185" customWidth="1"/>
    <col min="1287" max="1287" width="18.85546875" style="185" customWidth="1"/>
    <col min="1288" max="1288" width="15.7109375" style="185" customWidth="1"/>
    <col min="1289" max="1290" width="16.5703125" style="185" customWidth="1"/>
    <col min="1291" max="1291" width="13.140625" style="185" bestFit="1" customWidth="1"/>
    <col min="1292" max="1292" width="13.42578125" style="185" customWidth="1"/>
    <col min="1293" max="1293" width="14.7109375" style="185" customWidth="1"/>
    <col min="1294" max="1294" width="14.7109375" style="185" bestFit="1" customWidth="1"/>
    <col min="1295" max="1299" width="14.42578125" style="185" customWidth="1"/>
    <col min="1300" max="1300" width="14.85546875" style="185" bestFit="1" customWidth="1"/>
    <col min="1301" max="1301" width="10.85546875" style="185" bestFit="1" customWidth="1"/>
    <col min="1302" max="1536" width="9.140625" style="185"/>
    <col min="1537" max="1537" width="8.42578125" style="185" customWidth="1"/>
    <col min="1538" max="1538" width="14.42578125" style="185" customWidth="1"/>
    <col min="1539" max="1539" width="15.42578125" style="185" customWidth="1"/>
    <col min="1540" max="1540" width="16.42578125" style="185" customWidth="1"/>
    <col min="1541" max="1541" width="16.140625" style="185" customWidth="1"/>
    <col min="1542" max="1542" width="13.7109375" style="185" customWidth="1"/>
    <col min="1543" max="1543" width="18.85546875" style="185" customWidth="1"/>
    <col min="1544" max="1544" width="15.7109375" style="185" customWidth="1"/>
    <col min="1545" max="1546" width="16.5703125" style="185" customWidth="1"/>
    <col min="1547" max="1547" width="13.140625" style="185" bestFit="1" customWidth="1"/>
    <col min="1548" max="1548" width="13.42578125" style="185" customWidth="1"/>
    <col min="1549" max="1549" width="14.7109375" style="185" customWidth="1"/>
    <col min="1550" max="1550" width="14.7109375" style="185" bestFit="1" customWidth="1"/>
    <col min="1551" max="1555" width="14.42578125" style="185" customWidth="1"/>
    <col min="1556" max="1556" width="14.85546875" style="185" bestFit="1" customWidth="1"/>
    <col min="1557" max="1557" width="10.85546875" style="185" bestFit="1" customWidth="1"/>
    <col min="1558" max="1792" width="9.140625" style="185"/>
    <col min="1793" max="1793" width="8.42578125" style="185" customWidth="1"/>
    <col min="1794" max="1794" width="14.42578125" style="185" customWidth="1"/>
    <col min="1795" max="1795" width="15.42578125" style="185" customWidth="1"/>
    <col min="1796" max="1796" width="16.42578125" style="185" customWidth="1"/>
    <col min="1797" max="1797" width="16.140625" style="185" customWidth="1"/>
    <col min="1798" max="1798" width="13.7109375" style="185" customWidth="1"/>
    <col min="1799" max="1799" width="18.85546875" style="185" customWidth="1"/>
    <col min="1800" max="1800" width="15.7109375" style="185" customWidth="1"/>
    <col min="1801" max="1802" width="16.5703125" style="185" customWidth="1"/>
    <col min="1803" max="1803" width="13.140625" style="185" bestFit="1" customWidth="1"/>
    <col min="1804" max="1804" width="13.42578125" style="185" customWidth="1"/>
    <col min="1805" max="1805" width="14.7109375" style="185" customWidth="1"/>
    <col min="1806" max="1806" width="14.7109375" style="185" bestFit="1" customWidth="1"/>
    <col min="1807" max="1811" width="14.42578125" style="185" customWidth="1"/>
    <col min="1812" max="1812" width="14.85546875" style="185" bestFit="1" customWidth="1"/>
    <col min="1813" max="1813" width="10.85546875" style="185" bestFit="1" customWidth="1"/>
    <col min="1814" max="2048" width="9.140625" style="185"/>
    <col min="2049" max="2049" width="8.42578125" style="185" customWidth="1"/>
    <col min="2050" max="2050" width="14.42578125" style="185" customWidth="1"/>
    <col min="2051" max="2051" width="15.42578125" style="185" customWidth="1"/>
    <col min="2052" max="2052" width="16.42578125" style="185" customWidth="1"/>
    <col min="2053" max="2053" width="16.140625" style="185" customWidth="1"/>
    <col min="2054" max="2054" width="13.7109375" style="185" customWidth="1"/>
    <col min="2055" max="2055" width="18.85546875" style="185" customWidth="1"/>
    <col min="2056" max="2056" width="15.7109375" style="185" customWidth="1"/>
    <col min="2057" max="2058" width="16.5703125" style="185" customWidth="1"/>
    <col min="2059" max="2059" width="13.140625" style="185" bestFit="1" customWidth="1"/>
    <col min="2060" max="2060" width="13.42578125" style="185" customWidth="1"/>
    <col min="2061" max="2061" width="14.7109375" style="185" customWidth="1"/>
    <col min="2062" max="2062" width="14.7109375" style="185" bestFit="1" customWidth="1"/>
    <col min="2063" max="2067" width="14.42578125" style="185" customWidth="1"/>
    <col min="2068" max="2068" width="14.85546875" style="185" bestFit="1" customWidth="1"/>
    <col min="2069" max="2069" width="10.85546875" style="185" bestFit="1" customWidth="1"/>
    <col min="2070" max="2304" width="9.140625" style="185"/>
    <col min="2305" max="2305" width="8.42578125" style="185" customWidth="1"/>
    <col min="2306" max="2306" width="14.42578125" style="185" customWidth="1"/>
    <col min="2307" max="2307" width="15.42578125" style="185" customWidth="1"/>
    <col min="2308" max="2308" width="16.42578125" style="185" customWidth="1"/>
    <col min="2309" max="2309" width="16.140625" style="185" customWidth="1"/>
    <col min="2310" max="2310" width="13.7109375" style="185" customWidth="1"/>
    <col min="2311" max="2311" width="18.85546875" style="185" customWidth="1"/>
    <col min="2312" max="2312" width="15.7109375" style="185" customWidth="1"/>
    <col min="2313" max="2314" width="16.5703125" style="185" customWidth="1"/>
    <col min="2315" max="2315" width="13.140625" style="185" bestFit="1" customWidth="1"/>
    <col min="2316" max="2316" width="13.42578125" style="185" customWidth="1"/>
    <col min="2317" max="2317" width="14.7109375" style="185" customWidth="1"/>
    <col min="2318" max="2318" width="14.7109375" style="185" bestFit="1" customWidth="1"/>
    <col min="2319" max="2323" width="14.42578125" style="185" customWidth="1"/>
    <col min="2324" max="2324" width="14.85546875" style="185" bestFit="1" customWidth="1"/>
    <col min="2325" max="2325" width="10.85546875" style="185" bestFit="1" customWidth="1"/>
    <col min="2326" max="2560" width="9.140625" style="185"/>
    <col min="2561" max="2561" width="8.42578125" style="185" customWidth="1"/>
    <col min="2562" max="2562" width="14.42578125" style="185" customWidth="1"/>
    <col min="2563" max="2563" width="15.42578125" style="185" customWidth="1"/>
    <col min="2564" max="2564" width="16.42578125" style="185" customWidth="1"/>
    <col min="2565" max="2565" width="16.140625" style="185" customWidth="1"/>
    <col min="2566" max="2566" width="13.7109375" style="185" customWidth="1"/>
    <col min="2567" max="2567" width="18.85546875" style="185" customWidth="1"/>
    <col min="2568" max="2568" width="15.7109375" style="185" customWidth="1"/>
    <col min="2569" max="2570" width="16.5703125" style="185" customWidth="1"/>
    <col min="2571" max="2571" width="13.140625" style="185" bestFit="1" customWidth="1"/>
    <col min="2572" max="2572" width="13.42578125" style="185" customWidth="1"/>
    <col min="2573" max="2573" width="14.7109375" style="185" customWidth="1"/>
    <col min="2574" max="2574" width="14.7109375" style="185" bestFit="1" customWidth="1"/>
    <col min="2575" max="2579" width="14.42578125" style="185" customWidth="1"/>
    <col min="2580" max="2580" width="14.85546875" style="185" bestFit="1" customWidth="1"/>
    <col min="2581" max="2581" width="10.85546875" style="185" bestFit="1" customWidth="1"/>
    <col min="2582" max="2816" width="9.140625" style="185"/>
    <col min="2817" max="2817" width="8.42578125" style="185" customWidth="1"/>
    <col min="2818" max="2818" width="14.42578125" style="185" customWidth="1"/>
    <col min="2819" max="2819" width="15.42578125" style="185" customWidth="1"/>
    <col min="2820" max="2820" width="16.42578125" style="185" customWidth="1"/>
    <col min="2821" max="2821" width="16.140625" style="185" customWidth="1"/>
    <col min="2822" max="2822" width="13.7109375" style="185" customWidth="1"/>
    <col min="2823" max="2823" width="18.85546875" style="185" customWidth="1"/>
    <col min="2824" max="2824" width="15.7109375" style="185" customWidth="1"/>
    <col min="2825" max="2826" width="16.5703125" style="185" customWidth="1"/>
    <col min="2827" max="2827" width="13.140625" style="185" bestFit="1" customWidth="1"/>
    <col min="2828" max="2828" width="13.42578125" style="185" customWidth="1"/>
    <col min="2829" max="2829" width="14.7109375" style="185" customWidth="1"/>
    <col min="2830" max="2830" width="14.7109375" style="185" bestFit="1" customWidth="1"/>
    <col min="2831" max="2835" width="14.42578125" style="185" customWidth="1"/>
    <col min="2836" max="2836" width="14.85546875" style="185" bestFit="1" customWidth="1"/>
    <col min="2837" max="2837" width="10.85546875" style="185" bestFit="1" customWidth="1"/>
    <col min="2838" max="3072" width="9.140625" style="185"/>
    <col min="3073" max="3073" width="8.42578125" style="185" customWidth="1"/>
    <col min="3074" max="3074" width="14.42578125" style="185" customWidth="1"/>
    <col min="3075" max="3075" width="15.42578125" style="185" customWidth="1"/>
    <col min="3076" max="3076" width="16.42578125" style="185" customWidth="1"/>
    <col min="3077" max="3077" width="16.140625" style="185" customWidth="1"/>
    <col min="3078" max="3078" width="13.7109375" style="185" customWidth="1"/>
    <col min="3079" max="3079" width="18.85546875" style="185" customWidth="1"/>
    <col min="3080" max="3080" width="15.7109375" style="185" customWidth="1"/>
    <col min="3081" max="3082" width="16.5703125" style="185" customWidth="1"/>
    <col min="3083" max="3083" width="13.140625" style="185" bestFit="1" customWidth="1"/>
    <col min="3084" max="3084" width="13.42578125" style="185" customWidth="1"/>
    <col min="3085" max="3085" width="14.7109375" style="185" customWidth="1"/>
    <col min="3086" max="3086" width="14.7109375" style="185" bestFit="1" customWidth="1"/>
    <col min="3087" max="3091" width="14.42578125" style="185" customWidth="1"/>
    <col min="3092" max="3092" width="14.85546875" style="185" bestFit="1" customWidth="1"/>
    <col min="3093" max="3093" width="10.85546875" style="185" bestFit="1" customWidth="1"/>
    <col min="3094" max="3328" width="9.140625" style="185"/>
    <col min="3329" max="3329" width="8.42578125" style="185" customWidth="1"/>
    <col min="3330" max="3330" width="14.42578125" style="185" customWidth="1"/>
    <col min="3331" max="3331" width="15.42578125" style="185" customWidth="1"/>
    <col min="3332" max="3332" width="16.42578125" style="185" customWidth="1"/>
    <col min="3333" max="3333" width="16.140625" style="185" customWidth="1"/>
    <col min="3334" max="3334" width="13.7109375" style="185" customWidth="1"/>
    <col min="3335" max="3335" width="18.85546875" style="185" customWidth="1"/>
    <col min="3336" max="3336" width="15.7109375" style="185" customWidth="1"/>
    <col min="3337" max="3338" width="16.5703125" style="185" customWidth="1"/>
    <col min="3339" max="3339" width="13.140625" style="185" bestFit="1" customWidth="1"/>
    <col min="3340" max="3340" width="13.42578125" style="185" customWidth="1"/>
    <col min="3341" max="3341" width="14.7109375" style="185" customWidth="1"/>
    <col min="3342" max="3342" width="14.7109375" style="185" bestFit="1" customWidth="1"/>
    <col min="3343" max="3347" width="14.42578125" style="185" customWidth="1"/>
    <col min="3348" max="3348" width="14.85546875" style="185" bestFit="1" customWidth="1"/>
    <col min="3349" max="3349" width="10.85546875" style="185" bestFit="1" customWidth="1"/>
    <col min="3350" max="3584" width="9.140625" style="185"/>
    <col min="3585" max="3585" width="8.42578125" style="185" customWidth="1"/>
    <col min="3586" max="3586" width="14.42578125" style="185" customWidth="1"/>
    <col min="3587" max="3587" width="15.42578125" style="185" customWidth="1"/>
    <col min="3588" max="3588" width="16.42578125" style="185" customWidth="1"/>
    <col min="3589" max="3589" width="16.140625" style="185" customWidth="1"/>
    <col min="3590" max="3590" width="13.7109375" style="185" customWidth="1"/>
    <col min="3591" max="3591" width="18.85546875" style="185" customWidth="1"/>
    <col min="3592" max="3592" width="15.7109375" style="185" customWidth="1"/>
    <col min="3593" max="3594" width="16.5703125" style="185" customWidth="1"/>
    <col min="3595" max="3595" width="13.140625" style="185" bestFit="1" customWidth="1"/>
    <col min="3596" max="3596" width="13.42578125" style="185" customWidth="1"/>
    <col min="3597" max="3597" width="14.7109375" style="185" customWidth="1"/>
    <col min="3598" max="3598" width="14.7109375" style="185" bestFit="1" customWidth="1"/>
    <col min="3599" max="3603" width="14.42578125" style="185" customWidth="1"/>
    <col min="3604" max="3604" width="14.85546875" style="185" bestFit="1" customWidth="1"/>
    <col min="3605" max="3605" width="10.85546875" style="185" bestFit="1" customWidth="1"/>
    <col min="3606" max="3840" width="9.140625" style="185"/>
    <col min="3841" max="3841" width="8.42578125" style="185" customWidth="1"/>
    <col min="3842" max="3842" width="14.42578125" style="185" customWidth="1"/>
    <col min="3843" max="3843" width="15.42578125" style="185" customWidth="1"/>
    <col min="3844" max="3844" width="16.42578125" style="185" customWidth="1"/>
    <col min="3845" max="3845" width="16.140625" style="185" customWidth="1"/>
    <col min="3846" max="3846" width="13.7109375" style="185" customWidth="1"/>
    <col min="3847" max="3847" width="18.85546875" style="185" customWidth="1"/>
    <col min="3848" max="3848" width="15.7109375" style="185" customWidth="1"/>
    <col min="3849" max="3850" width="16.5703125" style="185" customWidth="1"/>
    <col min="3851" max="3851" width="13.140625" style="185" bestFit="1" customWidth="1"/>
    <col min="3852" max="3852" width="13.42578125" style="185" customWidth="1"/>
    <col min="3853" max="3853" width="14.7109375" style="185" customWidth="1"/>
    <col min="3854" max="3854" width="14.7109375" style="185" bestFit="1" customWidth="1"/>
    <col min="3855" max="3859" width="14.42578125" style="185" customWidth="1"/>
    <col min="3860" max="3860" width="14.85546875" style="185" bestFit="1" customWidth="1"/>
    <col min="3861" max="3861" width="10.85546875" style="185" bestFit="1" customWidth="1"/>
    <col min="3862" max="4096" width="9.140625" style="185"/>
    <col min="4097" max="4097" width="8.42578125" style="185" customWidth="1"/>
    <col min="4098" max="4098" width="14.42578125" style="185" customWidth="1"/>
    <col min="4099" max="4099" width="15.42578125" style="185" customWidth="1"/>
    <col min="4100" max="4100" width="16.42578125" style="185" customWidth="1"/>
    <col min="4101" max="4101" width="16.140625" style="185" customWidth="1"/>
    <col min="4102" max="4102" width="13.7109375" style="185" customWidth="1"/>
    <col min="4103" max="4103" width="18.85546875" style="185" customWidth="1"/>
    <col min="4104" max="4104" width="15.7109375" style="185" customWidth="1"/>
    <col min="4105" max="4106" width="16.5703125" style="185" customWidth="1"/>
    <col min="4107" max="4107" width="13.140625" style="185" bestFit="1" customWidth="1"/>
    <col min="4108" max="4108" width="13.42578125" style="185" customWidth="1"/>
    <col min="4109" max="4109" width="14.7109375" style="185" customWidth="1"/>
    <col min="4110" max="4110" width="14.7109375" style="185" bestFit="1" customWidth="1"/>
    <col min="4111" max="4115" width="14.42578125" style="185" customWidth="1"/>
    <col min="4116" max="4116" width="14.85546875" style="185" bestFit="1" customWidth="1"/>
    <col min="4117" max="4117" width="10.85546875" style="185" bestFit="1" customWidth="1"/>
    <col min="4118" max="4352" width="9.140625" style="185"/>
    <col min="4353" max="4353" width="8.42578125" style="185" customWidth="1"/>
    <col min="4354" max="4354" width="14.42578125" style="185" customWidth="1"/>
    <col min="4355" max="4355" width="15.42578125" style="185" customWidth="1"/>
    <col min="4356" max="4356" width="16.42578125" style="185" customWidth="1"/>
    <col min="4357" max="4357" width="16.140625" style="185" customWidth="1"/>
    <col min="4358" max="4358" width="13.7109375" style="185" customWidth="1"/>
    <col min="4359" max="4359" width="18.85546875" style="185" customWidth="1"/>
    <col min="4360" max="4360" width="15.7109375" style="185" customWidth="1"/>
    <col min="4361" max="4362" width="16.5703125" style="185" customWidth="1"/>
    <col min="4363" max="4363" width="13.140625" style="185" bestFit="1" customWidth="1"/>
    <col min="4364" max="4364" width="13.42578125" style="185" customWidth="1"/>
    <col min="4365" max="4365" width="14.7109375" style="185" customWidth="1"/>
    <col min="4366" max="4366" width="14.7109375" style="185" bestFit="1" customWidth="1"/>
    <col min="4367" max="4371" width="14.42578125" style="185" customWidth="1"/>
    <col min="4372" max="4372" width="14.85546875" style="185" bestFit="1" customWidth="1"/>
    <col min="4373" max="4373" width="10.85546875" style="185" bestFit="1" customWidth="1"/>
    <col min="4374" max="4608" width="9.140625" style="185"/>
    <col min="4609" max="4609" width="8.42578125" style="185" customWidth="1"/>
    <col min="4610" max="4610" width="14.42578125" style="185" customWidth="1"/>
    <col min="4611" max="4611" width="15.42578125" style="185" customWidth="1"/>
    <col min="4612" max="4612" width="16.42578125" style="185" customWidth="1"/>
    <col min="4613" max="4613" width="16.140625" style="185" customWidth="1"/>
    <col min="4614" max="4614" width="13.7109375" style="185" customWidth="1"/>
    <col min="4615" max="4615" width="18.85546875" style="185" customWidth="1"/>
    <col min="4616" max="4616" width="15.7109375" style="185" customWidth="1"/>
    <col min="4617" max="4618" width="16.5703125" style="185" customWidth="1"/>
    <col min="4619" max="4619" width="13.140625" style="185" bestFit="1" customWidth="1"/>
    <col min="4620" max="4620" width="13.42578125" style="185" customWidth="1"/>
    <col min="4621" max="4621" width="14.7109375" style="185" customWidth="1"/>
    <col min="4622" max="4622" width="14.7109375" style="185" bestFit="1" customWidth="1"/>
    <col min="4623" max="4627" width="14.42578125" style="185" customWidth="1"/>
    <col min="4628" max="4628" width="14.85546875" style="185" bestFit="1" customWidth="1"/>
    <col min="4629" max="4629" width="10.85546875" style="185" bestFit="1" customWidth="1"/>
    <col min="4630" max="4864" width="9.140625" style="185"/>
    <col min="4865" max="4865" width="8.42578125" style="185" customWidth="1"/>
    <col min="4866" max="4866" width="14.42578125" style="185" customWidth="1"/>
    <col min="4867" max="4867" width="15.42578125" style="185" customWidth="1"/>
    <col min="4868" max="4868" width="16.42578125" style="185" customWidth="1"/>
    <col min="4869" max="4869" width="16.140625" style="185" customWidth="1"/>
    <col min="4870" max="4870" width="13.7109375" style="185" customWidth="1"/>
    <col min="4871" max="4871" width="18.85546875" style="185" customWidth="1"/>
    <col min="4872" max="4872" width="15.7109375" style="185" customWidth="1"/>
    <col min="4873" max="4874" width="16.5703125" style="185" customWidth="1"/>
    <col min="4875" max="4875" width="13.140625" style="185" bestFit="1" customWidth="1"/>
    <col min="4876" max="4876" width="13.42578125" style="185" customWidth="1"/>
    <col min="4877" max="4877" width="14.7109375" style="185" customWidth="1"/>
    <col min="4878" max="4878" width="14.7109375" style="185" bestFit="1" customWidth="1"/>
    <col min="4879" max="4883" width="14.42578125" style="185" customWidth="1"/>
    <col min="4884" max="4884" width="14.85546875" style="185" bestFit="1" customWidth="1"/>
    <col min="4885" max="4885" width="10.85546875" style="185" bestFit="1" customWidth="1"/>
    <col min="4886" max="5120" width="9.140625" style="185"/>
    <col min="5121" max="5121" width="8.42578125" style="185" customWidth="1"/>
    <col min="5122" max="5122" width="14.42578125" style="185" customWidth="1"/>
    <col min="5123" max="5123" width="15.42578125" style="185" customWidth="1"/>
    <col min="5124" max="5124" width="16.42578125" style="185" customWidth="1"/>
    <col min="5125" max="5125" width="16.140625" style="185" customWidth="1"/>
    <col min="5126" max="5126" width="13.7109375" style="185" customWidth="1"/>
    <col min="5127" max="5127" width="18.85546875" style="185" customWidth="1"/>
    <col min="5128" max="5128" width="15.7109375" style="185" customWidth="1"/>
    <col min="5129" max="5130" width="16.5703125" style="185" customWidth="1"/>
    <col min="5131" max="5131" width="13.140625" style="185" bestFit="1" customWidth="1"/>
    <col min="5132" max="5132" width="13.42578125" style="185" customWidth="1"/>
    <col min="5133" max="5133" width="14.7109375" style="185" customWidth="1"/>
    <col min="5134" max="5134" width="14.7109375" style="185" bestFit="1" customWidth="1"/>
    <col min="5135" max="5139" width="14.42578125" style="185" customWidth="1"/>
    <col min="5140" max="5140" width="14.85546875" style="185" bestFit="1" customWidth="1"/>
    <col min="5141" max="5141" width="10.85546875" style="185" bestFit="1" customWidth="1"/>
    <col min="5142" max="5376" width="9.140625" style="185"/>
    <col min="5377" max="5377" width="8.42578125" style="185" customWidth="1"/>
    <col min="5378" max="5378" width="14.42578125" style="185" customWidth="1"/>
    <col min="5379" max="5379" width="15.42578125" style="185" customWidth="1"/>
    <col min="5380" max="5380" width="16.42578125" style="185" customWidth="1"/>
    <col min="5381" max="5381" width="16.140625" style="185" customWidth="1"/>
    <col min="5382" max="5382" width="13.7109375" style="185" customWidth="1"/>
    <col min="5383" max="5383" width="18.85546875" style="185" customWidth="1"/>
    <col min="5384" max="5384" width="15.7109375" style="185" customWidth="1"/>
    <col min="5385" max="5386" width="16.5703125" style="185" customWidth="1"/>
    <col min="5387" max="5387" width="13.140625" style="185" bestFit="1" customWidth="1"/>
    <col min="5388" max="5388" width="13.42578125" style="185" customWidth="1"/>
    <col min="5389" max="5389" width="14.7109375" style="185" customWidth="1"/>
    <col min="5390" max="5390" width="14.7109375" style="185" bestFit="1" customWidth="1"/>
    <col min="5391" max="5395" width="14.42578125" style="185" customWidth="1"/>
    <col min="5396" max="5396" width="14.85546875" style="185" bestFit="1" customWidth="1"/>
    <col min="5397" max="5397" width="10.85546875" style="185" bestFit="1" customWidth="1"/>
    <col min="5398" max="5632" width="9.140625" style="185"/>
    <col min="5633" max="5633" width="8.42578125" style="185" customWidth="1"/>
    <col min="5634" max="5634" width="14.42578125" style="185" customWidth="1"/>
    <col min="5635" max="5635" width="15.42578125" style="185" customWidth="1"/>
    <col min="5636" max="5636" width="16.42578125" style="185" customWidth="1"/>
    <col min="5637" max="5637" width="16.140625" style="185" customWidth="1"/>
    <col min="5638" max="5638" width="13.7109375" style="185" customWidth="1"/>
    <col min="5639" max="5639" width="18.85546875" style="185" customWidth="1"/>
    <col min="5640" max="5640" width="15.7109375" style="185" customWidth="1"/>
    <col min="5641" max="5642" width="16.5703125" style="185" customWidth="1"/>
    <col min="5643" max="5643" width="13.140625" style="185" bestFit="1" customWidth="1"/>
    <col min="5644" max="5644" width="13.42578125" style="185" customWidth="1"/>
    <col min="5645" max="5645" width="14.7109375" style="185" customWidth="1"/>
    <col min="5646" max="5646" width="14.7109375" style="185" bestFit="1" customWidth="1"/>
    <col min="5647" max="5651" width="14.42578125" style="185" customWidth="1"/>
    <col min="5652" max="5652" width="14.85546875" style="185" bestFit="1" customWidth="1"/>
    <col min="5653" max="5653" width="10.85546875" style="185" bestFit="1" customWidth="1"/>
    <col min="5654" max="5888" width="9.140625" style="185"/>
    <col min="5889" max="5889" width="8.42578125" style="185" customWidth="1"/>
    <col min="5890" max="5890" width="14.42578125" style="185" customWidth="1"/>
    <col min="5891" max="5891" width="15.42578125" style="185" customWidth="1"/>
    <col min="5892" max="5892" width="16.42578125" style="185" customWidth="1"/>
    <col min="5893" max="5893" width="16.140625" style="185" customWidth="1"/>
    <col min="5894" max="5894" width="13.7109375" style="185" customWidth="1"/>
    <col min="5895" max="5895" width="18.85546875" style="185" customWidth="1"/>
    <col min="5896" max="5896" width="15.7109375" style="185" customWidth="1"/>
    <col min="5897" max="5898" width="16.5703125" style="185" customWidth="1"/>
    <col min="5899" max="5899" width="13.140625" style="185" bestFit="1" customWidth="1"/>
    <col min="5900" max="5900" width="13.42578125" style="185" customWidth="1"/>
    <col min="5901" max="5901" width="14.7109375" style="185" customWidth="1"/>
    <col min="5902" max="5902" width="14.7109375" style="185" bestFit="1" customWidth="1"/>
    <col min="5903" max="5907" width="14.42578125" style="185" customWidth="1"/>
    <col min="5908" max="5908" width="14.85546875" style="185" bestFit="1" customWidth="1"/>
    <col min="5909" max="5909" width="10.85546875" style="185" bestFit="1" customWidth="1"/>
    <col min="5910" max="6144" width="9.140625" style="185"/>
    <col min="6145" max="6145" width="8.42578125" style="185" customWidth="1"/>
    <col min="6146" max="6146" width="14.42578125" style="185" customWidth="1"/>
    <col min="6147" max="6147" width="15.42578125" style="185" customWidth="1"/>
    <col min="6148" max="6148" width="16.42578125" style="185" customWidth="1"/>
    <col min="6149" max="6149" width="16.140625" style="185" customWidth="1"/>
    <col min="6150" max="6150" width="13.7109375" style="185" customWidth="1"/>
    <col min="6151" max="6151" width="18.85546875" style="185" customWidth="1"/>
    <col min="6152" max="6152" width="15.7109375" style="185" customWidth="1"/>
    <col min="6153" max="6154" width="16.5703125" style="185" customWidth="1"/>
    <col min="6155" max="6155" width="13.140625" style="185" bestFit="1" customWidth="1"/>
    <col min="6156" max="6156" width="13.42578125" style="185" customWidth="1"/>
    <col min="6157" max="6157" width="14.7109375" style="185" customWidth="1"/>
    <col min="6158" max="6158" width="14.7109375" style="185" bestFit="1" customWidth="1"/>
    <col min="6159" max="6163" width="14.42578125" style="185" customWidth="1"/>
    <col min="6164" max="6164" width="14.85546875" style="185" bestFit="1" customWidth="1"/>
    <col min="6165" max="6165" width="10.85546875" style="185" bestFit="1" customWidth="1"/>
    <col min="6166" max="6400" width="9.140625" style="185"/>
    <col min="6401" max="6401" width="8.42578125" style="185" customWidth="1"/>
    <col min="6402" max="6402" width="14.42578125" style="185" customWidth="1"/>
    <col min="6403" max="6403" width="15.42578125" style="185" customWidth="1"/>
    <col min="6404" max="6404" width="16.42578125" style="185" customWidth="1"/>
    <col min="6405" max="6405" width="16.140625" style="185" customWidth="1"/>
    <col min="6406" max="6406" width="13.7109375" style="185" customWidth="1"/>
    <col min="6407" max="6407" width="18.85546875" style="185" customWidth="1"/>
    <col min="6408" max="6408" width="15.7109375" style="185" customWidth="1"/>
    <col min="6409" max="6410" width="16.5703125" style="185" customWidth="1"/>
    <col min="6411" max="6411" width="13.140625" style="185" bestFit="1" customWidth="1"/>
    <col min="6412" max="6412" width="13.42578125" style="185" customWidth="1"/>
    <col min="6413" max="6413" width="14.7109375" style="185" customWidth="1"/>
    <col min="6414" max="6414" width="14.7109375" style="185" bestFit="1" customWidth="1"/>
    <col min="6415" max="6419" width="14.42578125" style="185" customWidth="1"/>
    <col min="6420" max="6420" width="14.85546875" style="185" bestFit="1" customWidth="1"/>
    <col min="6421" max="6421" width="10.85546875" style="185" bestFit="1" customWidth="1"/>
    <col min="6422" max="6656" width="9.140625" style="185"/>
    <col min="6657" max="6657" width="8.42578125" style="185" customWidth="1"/>
    <col min="6658" max="6658" width="14.42578125" style="185" customWidth="1"/>
    <col min="6659" max="6659" width="15.42578125" style="185" customWidth="1"/>
    <col min="6660" max="6660" width="16.42578125" style="185" customWidth="1"/>
    <col min="6661" max="6661" width="16.140625" style="185" customWidth="1"/>
    <col min="6662" max="6662" width="13.7109375" style="185" customWidth="1"/>
    <col min="6663" max="6663" width="18.85546875" style="185" customWidth="1"/>
    <col min="6664" max="6664" width="15.7109375" style="185" customWidth="1"/>
    <col min="6665" max="6666" width="16.5703125" style="185" customWidth="1"/>
    <col min="6667" max="6667" width="13.140625" style="185" bestFit="1" customWidth="1"/>
    <col min="6668" max="6668" width="13.42578125" style="185" customWidth="1"/>
    <col min="6669" max="6669" width="14.7109375" style="185" customWidth="1"/>
    <col min="6670" max="6670" width="14.7109375" style="185" bestFit="1" customWidth="1"/>
    <col min="6671" max="6675" width="14.42578125" style="185" customWidth="1"/>
    <col min="6676" max="6676" width="14.85546875" style="185" bestFit="1" customWidth="1"/>
    <col min="6677" max="6677" width="10.85546875" style="185" bestFit="1" customWidth="1"/>
    <col min="6678" max="6912" width="9.140625" style="185"/>
    <col min="6913" max="6913" width="8.42578125" style="185" customWidth="1"/>
    <col min="6914" max="6914" width="14.42578125" style="185" customWidth="1"/>
    <col min="6915" max="6915" width="15.42578125" style="185" customWidth="1"/>
    <col min="6916" max="6916" width="16.42578125" style="185" customWidth="1"/>
    <col min="6917" max="6917" width="16.140625" style="185" customWidth="1"/>
    <col min="6918" max="6918" width="13.7109375" style="185" customWidth="1"/>
    <col min="6919" max="6919" width="18.85546875" style="185" customWidth="1"/>
    <col min="6920" max="6920" width="15.7109375" style="185" customWidth="1"/>
    <col min="6921" max="6922" width="16.5703125" style="185" customWidth="1"/>
    <col min="6923" max="6923" width="13.140625" style="185" bestFit="1" customWidth="1"/>
    <col min="6924" max="6924" width="13.42578125" style="185" customWidth="1"/>
    <col min="6925" max="6925" width="14.7109375" style="185" customWidth="1"/>
    <col min="6926" max="6926" width="14.7109375" style="185" bestFit="1" customWidth="1"/>
    <col min="6927" max="6931" width="14.42578125" style="185" customWidth="1"/>
    <col min="6932" max="6932" width="14.85546875" style="185" bestFit="1" customWidth="1"/>
    <col min="6933" max="6933" width="10.85546875" style="185" bestFit="1" customWidth="1"/>
    <col min="6934" max="7168" width="9.140625" style="185"/>
    <col min="7169" max="7169" width="8.42578125" style="185" customWidth="1"/>
    <col min="7170" max="7170" width="14.42578125" style="185" customWidth="1"/>
    <col min="7171" max="7171" width="15.42578125" style="185" customWidth="1"/>
    <col min="7172" max="7172" width="16.42578125" style="185" customWidth="1"/>
    <col min="7173" max="7173" width="16.140625" style="185" customWidth="1"/>
    <col min="7174" max="7174" width="13.7109375" style="185" customWidth="1"/>
    <col min="7175" max="7175" width="18.85546875" style="185" customWidth="1"/>
    <col min="7176" max="7176" width="15.7109375" style="185" customWidth="1"/>
    <col min="7177" max="7178" width="16.5703125" style="185" customWidth="1"/>
    <col min="7179" max="7179" width="13.140625" style="185" bestFit="1" customWidth="1"/>
    <col min="7180" max="7180" width="13.42578125" style="185" customWidth="1"/>
    <col min="7181" max="7181" width="14.7109375" style="185" customWidth="1"/>
    <col min="7182" max="7182" width="14.7109375" style="185" bestFit="1" customWidth="1"/>
    <col min="7183" max="7187" width="14.42578125" style="185" customWidth="1"/>
    <col min="7188" max="7188" width="14.85546875" style="185" bestFit="1" customWidth="1"/>
    <col min="7189" max="7189" width="10.85546875" style="185" bestFit="1" customWidth="1"/>
    <col min="7190" max="7424" width="9.140625" style="185"/>
    <col min="7425" max="7425" width="8.42578125" style="185" customWidth="1"/>
    <col min="7426" max="7426" width="14.42578125" style="185" customWidth="1"/>
    <col min="7427" max="7427" width="15.42578125" style="185" customWidth="1"/>
    <col min="7428" max="7428" width="16.42578125" style="185" customWidth="1"/>
    <col min="7429" max="7429" width="16.140625" style="185" customWidth="1"/>
    <col min="7430" max="7430" width="13.7109375" style="185" customWidth="1"/>
    <col min="7431" max="7431" width="18.85546875" style="185" customWidth="1"/>
    <col min="7432" max="7432" width="15.7109375" style="185" customWidth="1"/>
    <col min="7433" max="7434" width="16.5703125" style="185" customWidth="1"/>
    <col min="7435" max="7435" width="13.140625" style="185" bestFit="1" customWidth="1"/>
    <col min="7436" max="7436" width="13.42578125" style="185" customWidth="1"/>
    <col min="7437" max="7437" width="14.7109375" style="185" customWidth="1"/>
    <col min="7438" max="7438" width="14.7109375" style="185" bestFit="1" customWidth="1"/>
    <col min="7439" max="7443" width="14.42578125" style="185" customWidth="1"/>
    <col min="7444" max="7444" width="14.85546875" style="185" bestFit="1" customWidth="1"/>
    <col min="7445" max="7445" width="10.85546875" style="185" bestFit="1" customWidth="1"/>
    <col min="7446" max="7680" width="9.140625" style="185"/>
    <col min="7681" max="7681" width="8.42578125" style="185" customWidth="1"/>
    <col min="7682" max="7682" width="14.42578125" style="185" customWidth="1"/>
    <col min="7683" max="7683" width="15.42578125" style="185" customWidth="1"/>
    <col min="7684" max="7684" width="16.42578125" style="185" customWidth="1"/>
    <col min="7685" max="7685" width="16.140625" style="185" customWidth="1"/>
    <col min="7686" max="7686" width="13.7109375" style="185" customWidth="1"/>
    <col min="7687" max="7687" width="18.85546875" style="185" customWidth="1"/>
    <col min="7688" max="7688" width="15.7109375" style="185" customWidth="1"/>
    <col min="7689" max="7690" width="16.5703125" style="185" customWidth="1"/>
    <col min="7691" max="7691" width="13.140625" style="185" bestFit="1" customWidth="1"/>
    <col min="7692" max="7692" width="13.42578125" style="185" customWidth="1"/>
    <col min="7693" max="7693" width="14.7109375" style="185" customWidth="1"/>
    <col min="7694" max="7694" width="14.7109375" style="185" bestFit="1" customWidth="1"/>
    <col min="7695" max="7699" width="14.42578125" style="185" customWidth="1"/>
    <col min="7700" max="7700" width="14.85546875" style="185" bestFit="1" customWidth="1"/>
    <col min="7701" max="7701" width="10.85546875" style="185" bestFit="1" customWidth="1"/>
    <col min="7702" max="7936" width="9.140625" style="185"/>
    <col min="7937" max="7937" width="8.42578125" style="185" customWidth="1"/>
    <col min="7938" max="7938" width="14.42578125" style="185" customWidth="1"/>
    <col min="7939" max="7939" width="15.42578125" style="185" customWidth="1"/>
    <col min="7940" max="7940" width="16.42578125" style="185" customWidth="1"/>
    <col min="7941" max="7941" width="16.140625" style="185" customWidth="1"/>
    <col min="7942" max="7942" width="13.7109375" style="185" customWidth="1"/>
    <col min="7943" max="7943" width="18.85546875" style="185" customWidth="1"/>
    <col min="7944" max="7944" width="15.7109375" style="185" customWidth="1"/>
    <col min="7945" max="7946" width="16.5703125" style="185" customWidth="1"/>
    <col min="7947" max="7947" width="13.140625" style="185" bestFit="1" customWidth="1"/>
    <col min="7948" max="7948" width="13.42578125" style="185" customWidth="1"/>
    <col min="7949" max="7949" width="14.7109375" style="185" customWidth="1"/>
    <col min="7950" max="7950" width="14.7109375" style="185" bestFit="1" customWidth="1"/>
    <col min="7951" max="7955" width="14.42578125" style="185" customWidth="1"/>
    <col min="7956" max="7956" width="14.85546875" style="185" bestFit="1" customWidth="1"/>
    <col min="7957" max="7957" width="10.85546875" style="185" bestFit="1" customWidth="1"/>
    <col min="7958" max="8192" width="9.140625" style="185"/>
    <col min="8193" max="8193" width="8.42578125" style="185" customWidth="1"/>
    <col min="8194" max="8194" width="14.42578125" style="185" customWidth="1"/>
    <col min="8195" max="8195" width="15.42578125" style="185" customWidth="1"/>
    <col min="8196" max="8196" width="16.42578125" style="185" customWidth="1"/>
    <col min="8197" max="8197" width="16.140625" style="185" customWidth="1"/>
    <col min="8198" max="8198" width="13.7109375" style="185" customWidth="1"/>
    <col min="8199" max="8199" width="18.85546875" style="185" customWidth="1"/>
    <col min="8200" max="8200" width="15.7109375" style="185" customWidth="1"/>
    <col min="8201" max="8202" width="16.5703125" style="185" customWidth="1"/>
    <col min="8203" max="8203" width="13.140625" style="185" bestFit="1" customWidth="1"/>
    <col min="8204" max="8204" width="13.42578125" style="185" customWidth="1"/>
    <col min="8205" max="8205" width="14.7109375" style="185" customWidth="1"/>
    <col min="8206" max="8206" width="14.7109375" style="185" bestFit="1" customWidth="1"/>
    <col min="8207" max="8211" width="14.42578125" style="185" customWidth="1"/>
    <col min="8212" max="8212" width="14.85546875" style="185" bestFit="1" customWidth="1"/>
    <col min="8213" max="8213" width="10.85546875" style="185" bestFit="1" customWidth="1"/>
    <col min="8214" max="8448" width="9.140625" style="185"/>
    <col min="8449" max="8449" width="8.42578125" style="185" customWidth="1"/>
    <col min="8450" max="8450" width="14.42578125" style="185" customWidth="1"/>
    <col min="8451" max="8451" width="15.42578125" style="185" customWidth="1"/>
    <col min="8452" max="8452" width="16.42578125" style="185" customWidth="1"/>
    <col min="8453" max="8453" width="16.140625" style="185" customWidth="1"/>
    <col min="8454" max="8454" width="13.7109375" style="185" customWidth="1"/>
    <col min="8455" max="8455" width="18.85546875" style="185" customWidth="1"/>
    <col min="8456" max="8456" width="15.7109375" style="185" customWidth="1"/>
    <col min="8457" max="8458" width="16.5703125" style="185" customWidth="1"/>
    <col min="8459" max="8459" width="13.140625" style="185" bestFit="1" customWidth="1"/>
    <col min="8460" max="8460" width="13.42578125" style="185" customWidth="1"/>
    <col min="8461" max="8461" width="14.7109375" style="185" customWidth="1"/>
    <col min="8462" max="8462" width="14.7109375" style="185" bestFit="1" customWidth="1"/>
    <col min="8463" max="8467" width="14.42578125" style="185" customWidth="1"/>
    <col min="8468" max="8468" width="14.85546875" style="185" bestFit="1" customWidth="1"/>
    <col min="8469" max="8469" width="10.85546875" style="185" bestFit="1" customWidth="1"/>
    <col min="8470" max="8704" width="9.140625" style="185"/>
    <col min="8705" max="8705" width="8.42578125" style="185" customWidth="1"/>
    <col min="8706" max="8706" width="14.42578125" style="185" customWidth="1"/>
    <col min="8707" max="8707" width="15.42578125" style="185" customWidth="1"/>
    <col min="8708" max="8708" width="16.42578125" style="185" customWidth="1"/>
    <col min="8709" max="8709" width="16.140625" style="185" customWidth="1"/>
    <col min="8710" max="8710" width="13.7109375" style="185" customWidth="1"/>
    <col min="8711" max="8711" width="18.85546875" style="185" customWidth="1"/>
    <col min="8712" max="8712" width="15.7109375" style="185" customWidth="1"/>
    <col min="8713" max="8714" width="16.5703125" style="185" customWidth="1"/>
    <col min="8715" max="8715" width="13.140625" style="185" bestFit="1" customWidth="1"/>
    <col min="8716" max="8716" width="13.42578125" style="185" customWidth="1"/>
    <col min="8717" max="8717" width="14.7109375" style="185" customWidth="1"/>
    <col min="8718" max="8718" width="14.7109375" style="185" bestFit="1" customWidth="1"/>
    <col min="8719" max="8723" width="14.42578125" style="185" customWidth="1"/>
    <col min="8724" max="8724" width="14.85546875" style="185" bestFit="1" customWidth="1"/>
    <col min="8725" max="8725" width="10.85546875" style="185" bestFit="1" customWidth="1"/>
    <col min="8726" max="8960" width="9.140625" style="185"/>
    <col min="8961" max="8961" width="8.42578125" style="185" customWidth="1"/>
    <col min="8962" max="8962" width="14.42578125" style="185" customWidth="1"/>
    <col min="8963" max="8963" width="15.42578125" style="185" customWidth="1"/>
    <col min="8964" max="8964" width="16.42578125" style="185" customWidth="1"/>
    <col min="8965" max="8965" width="16.140625" style="185" customWidth="1"/>
    <col min="8966" max="8966" width="13.7109375" style="185" customWidth="1"/>
    <col min="8967" max="8967" width="18.85546875" style="185" customWidth="1"/>
    <col min="8968" max="8968" width="15.7109375" style="185" customWidth="1"/>
    <col min="8969" max="8970" width="16.5703125" style="185" customWidth="1"/>
    <col min="8971" max="8971" width="13.140625" style="185" bestFit="1" customWidth="1"/>
    <col min="8972" max="8972" width="13.42578125" style="185" customWidth="1"/>
    <col min="8973" max="8973" width="14.7109375" style="185" customWidth="1"/>
    <col min="8974" max="8974" width="14.7109375" style="185" bestFit="1" customWidth="1"/>
    <col min="8975" max="8979" width="14.42578125" style="185" customWidth="1"/>
    <col min="8980" max="8980" width="14.85546875" style="185" bestFit="1" customWidth="1"/>
    <col min="8981" max="8981" width="10.85546875" style="185" bestFit="1" customWidth="1"/>
    <col min="8982" max="9216" width="9.140625" style="185"/>
    <col min="9217" max="9217" width="8.42578125" style="185" customWidth="1"/>
    <col min="9218" max="9218" width="14.42578125" style="185" customWidth="1"/>
    <col min="9219" max="9219" width="15.42578125" style="185" customWidth="1"/>
    <col min="9220" max="9220" width="16.42578125" style="185" customWidth="1"/>
    <col min="9221" max="9221" width="16.140625" style="185" customWidth="1"/>
    <col min="9222" max="9222" width="13.7109375" style="185" customWidth="1"/>
    <col min="9223" max="9223" width="18.85546875" style="185" customWidth="1"/>
    <col min="9224" max="9224" width="15.7109375" style="185" customWidth="1"/>
    <col min="9225" max="9226" width="16.5703125" style="185" customWidth="1"/>
    <col min="9227" max="9227" width="13.140625" style="185" bestFit="1" customWidth="1"/>
    <col min="9228" max="9228" width="13.42578125" style="185" customWidth="1"/>
    <col min="9229" max="9229" width="14.7109375" style="185" customWidth="1"/>
    <col min="9230" max="9230" width="14.7109375" style="185" bestFit="1" customWidth="1"/>
    <col min="9231" max="9235" width="14.42578125" style="185" customWidth="1"/>
    <col min="9236" max="9236" width="14.85546875" style="185" bestFit="1" customWidth="1"/>
    <col min="9237" max="9237" width="10.85546875" style="185" bestFit="1" customWidth="1"/>
    <col min="9238" max="9472" width="9.140625" style="185"/>
    <col min="9473" max="9473" width="8.42578125" style="185" customWidth="1"/>
    <col min="9474" max="9474" width="14.42578125" style="185" customWidth="1"/>
    <col min="9475" max="9475" width="15.42578125" style="185" customWidth="1"/>
    <col min="9476" max="9476" width="16.42578125" style="185" customWidth="1"/>
    <col min="9477" max="9477" width="16.140625" style="185" customWidth="1"/>
    <col min="9478" max="9478" width="13.7109375" style="185" customWidth="1"/>
    <col min="9479" max="9479" width="18.85546875" style="185" customWidth="1"/>
    <col min="9480" max="9480" width="15.7109375" style="185" customWidth="1"/>
    <col min="9481" max="9482" width="16.5703125" style="185" customWidth="1"/>
    <col min="9483" max="9483" width="13.140625" style="185" bestFit="1" customWidth="1"/>
    <col min="9484" max="9484" width="13.42578125" style="185" customWidth="1"/>
    <col min="9485" max="9485" width="14.7109375" style="185" customWidth="1"/>
    <col min="9486" max="9486" width="14.7109375" style="185" bestFit="1" customWidth="1"/>
    <col min="9487" max="9491" width="14.42578125" style="185" customWidth="1"/>
    <col min="9492" max="9492" width="14.85546875" style="185" bestFit="1" customWidth="1"/>
    <col min="9493" max="9493" width="10.85546875" style="185" bestFit="1" customWidth="1"/>
    <col min="9494" max="9728" width="9.140625" style="185"/>
    <col min="9729" max="9729" width="8.42578125" style="185" customWidth="1"/>
    <col min="9730" max="9730" width="14.42578125" style="185" customWidth="1"/>
    <col min="9731" max="9731" width="15.42578125" style="185" customWidth="1"/>
    <col min="9732" max="9732" width="16.42578125" style="185" customWidth="1"/>
    <col min="9733" max="9733" width="16.140625" style="185" customWidth="1"/>
    <col min="9734" max="9734" width="13.7109375" style="185" customWidth="1"/>
    <col min="9735" max="9735" width="18.85546875" style="185" customWidth="1"/>
    <col min="9736" max="9736" width="15.7109375" style="185" customWidth="1"/>
    <col min="9737" max="9738" width="16.5703125" style="185" customWidth="1"/>
    <col min="9739" max="9739" width="13.140625" style="185" bestFit="1" customWidth="1"/>
    <col min="9740" max="9740" width="13.42578125" style="185" customWidth="1"/>
    <col min="9741" max="9741" width="14.7109375" style="185" customWidth="1"/>
    <col min="9742" max="9742" width="14.7109375" style="185" bestFit="1" customWidth="1"/>
    <col min="9743" max="9747" width="14.42578125" style="185" customWidth="1"/>
    <col min="9748" max="9748" width="14.85546875" style="185" bestFit="1" customWidth="1"/>
    <col min="9749" max="9749" width="10.85546875" style="185" bestFit="1" customWidth="1"/>
    <col min="9750" max="9984" width="9.140625" style="185"/>
    <col min="9985" max="9985" width="8.42578125" style="185" customWidth="1"/>
    <col min="9986" max="9986" width="14.42578125" style="185" customWidth="1"/>
    <col min="9987" max="9987" width="15.42578125" style="185" customWidth="1"/>
    <col min="9988" max="9988" width="16.42578125" style="185" customWidth="1"/>
    <col min="9989" max="9989" width="16.140625" style="185" customWidth="1"/>
    <col min="9990" max="9990" width="13.7109375" style="185" customWidth="1"/>
    <col min="9991" max="9991" width="18.85546875" style="185" customWidth="1"/>
    <col min="9992" max="9992" width="15.7109375" style="185" customWidth="1"/>
    <col min="9993" max="9994" width="16.5703125" style="185" customWidth="1"/>
    <col min="9995" max="9995" width="13.140625" style="185" bestFit="1" customWidth="1"/>
    <col min="9996" max="9996" width="13.42578125" style="185" customWidth="1"/>
    <col min="9997" max="9997" width="14.7109375" style="185" customWidth="1"/>
    <col min="9998" max="9998" width="14.7109375" style="185" bestFit="1" customWidth="1"/>
    <col min="9999" max="10003" width="14.42578125" style="185" customWidth="1"/>
    <col min="10004" max="10004" width="14.85546875" style="185" bestFit="1" customWidth="1"/>
    <col min="10005" max="10005" width="10.85546875" style="185" bestFit="1" customWidth="1"/>
    <col min="10006" max="10240" width="9.140625" style="185"/>
    <col min="10241" max="10241" width="8.42578125" style="185" customWidth="1"/>
    <col min="10242" max="10242" width="14.42578125" style="185" customWidth="1"/>
    <col min="10243" max="10243" width="15.42578125" style="185" customWidth="1"/>
    <col min="10244" max="10244" width="16.42578125" style="185" customWidth="1"/>
    <col min="10245" max="10245" width="16.140625" style="185" customWidth="1"/>
    <col min="10246" max="10246" width="13.7109375" style="185" customWidth="1"/>
    <col min="10247" max="10247" width="18.85546875" style="185" customWidth="1"/>
    <col min="10248" max="10248" width="15.7109375" style="185" customWidth="1"/>
    <col min="10249" max="10250" width="16.5703125" style="185" customWidth="1"/>
    <col min="10251" max="10251" width="13.140625" style="185" bestFit="1" customWidth="1"/>
    <col min="10252" max="10252" width="13.42578125" style="185" customWidth="1"/>
    <col min="10253" max="10253" width="14.7109375" style="185" customWidth="1"/>
    <col min="10254" max="10254" width="14.7109375" style="185" bestFit="1" customWidth="1"/>
    <col min="10255" max="10259" width="14.42578125" style="185" customWidth="1"/>
    <col min="10260" max="10260" width="14.85546875" style="185" bestFit="1" customWidth="1"/>
    <col min="10261" max="10261" width="10.85546875" style="185" bestFit="1" customWidth="1"/>
    <col min="10262" max="10496" width="9.140625" style="185"/>
    <col min="10497" max="10497" width="8.42578125" style="185" customWidth="1"/>
    <col min="10498" max="10498" width="14.42578125" style="185" customWidth="1"/>
    <col min="10499" max="10499" width="15.42578125" style="185" customWidth="1"/>
    <col min="10500" max="10500" width="16.42578125" style="185" customWidth="1"/>
    <col min="10501" max="10501" width="16.140625" style="185" customWidth="1"/>
    <col min="10502" max="10502" width="13.7109375" style="185" customWidth="1"/>
    <col min="10503" max="10503" width="18.85546875" style="185" customWidth="1"/>
    <col min="10504" max="10504" width="15.7109375" style="185" customWidth="1"/>
    <col min="10505" max="10506" width="16.5703125" style="185" customWidth="1"/>
    <col min="10507" max="10507" width="13.140625" style="185" bestFit="1" customWidth="1"/>
    <col min="10508" max="10508" width="13.42578125" style="185" customWidth="1"/>
    <col min="10509" max="10509" width="14.7109375" style="185" customWidth="1"/>
    <col min="10510" max="10510" width="14.7109375" style="185" bestFit="1" customWidth="1"/>
    <col min="10511" max="10515" width="14.42578125" style="185" customWidth="1"/>
    <col min="10516" max="10516" width="14.85546875" style="185" bestFit="1" customWidth="1"/>
    <col min="10517" max="10517" width="10.85546875" style="185" bestFit="1" customWidth="1"/>
    <col min="10518" max="10752" width="9.140625" style="185"/>
    <col min="10753" max="10753" width="8.42578125" style="185" customWidth="1"/>
    <col min="10754" max="10754" width="14.42578125" style="185" customWidth="1"/>
    <col min="10755" max="10755" width="15.42578125" style="185" customWidth="1"/>
    <col min="10756" max="10756" width="16.42578125" style="185" customWidth="1"/>
    <col min="10757" max="10757" width="16.140625" style="185" customWidth="1"/>
    <col min="10758" max="10758" width="13.7109375" style="185" customWidth="1"/>
    <col min="10759" max="10759" width="18.85546875" style="185" customWidth="1"/>
    <col min="10760" max="10760" width="15.7109375" style="185" customWidth="1"/>
    <col min="10761" max="10762" width="16.5703125" style="185" customWidth="1"/>
    <col min="10763" max="10763" width="13.140625" style="185" bestFit="1" customWidth="1"/>
    <col min="10764" max="10764" width="13.42578125" style="185" customWidth="1"/>
    <col min="10765" max="10765" width="14.7109375" style="185" customWidth="1"/>
    <col min="10766" max="10766" width="14.7109375" style="185" bestFit="1" customWidth="1"/>
    <col min="10767" max="10771" width="14.42578125" style="185" customWidth="1"/>
    <col min="10772" max="10772" width="14.85546875" style="185" bestFit="1" customWidth="1"/>
    <col min="10773" max="10773" width="10.85546875" style="185" bestFit="1" customWidth="1"/>
    <col min="10774" max="11008" width="9.140625" style="185"/>
    <col min="11009" max="11009" width="8.42578125" style="185" customWidth="1"/>
    <col min="11010" max="11010" width="14.42578125" style="185" customWidth="1"/>
    <col min="11011" max="11011" width="15.42578125" style="185" customWidth="1"/>
    <col min="11012" max="11012" width="16.42578125" style="185" customWidth="1"/>
    <col min="11013" max="11013" width="16.140625" style="185" customWidth="1"/>
    <col min="11014" max="11014" width="13.7109375" style="185" customWidth="1"/>
    <col min="11015" max="11015" width="18.85546875" style="185" customWidth="1"/>
    <col min="11016" max="11016" width="15.7109375" style="185" customWidth="1"/>
    <col min="11017" max="11018" width="16.5703125" style="185" customWidth="1"/>
    <col min="11019" max="11019" width="13.140625" style="185" bestFit="1" customWidth="1"/>
    <col min="11020" max="11020" width="13.42578125" style="185" customWidth="1"/>
    <col min="11021" max="11021" width="14.7109375" style="185" customWidth="1"/>
    <col min="11022" max="11022" width="14.7109375" style="185" bestFit="1" customWidth="1"/>
    <col min="11023" max="11027" width="14.42578125" style="185" customWidth="1"/>
    <col min="11028" max="11028" width="14.85546875" style="185" bestFit="1" customWidth="1"/>
    <col min="11029" max="11029" width="10.85546875" style="185" bestFit="1" customWidth="1"/>
    <col min="11030" max="11264" width="9.140625" style="185"/>
    <col min="11265" max="11265" width="8.42578125" style="185" customWidth="1"/>
    <col min="11266" max="11266" width="14.42578125" style="185" customWidth="1"/>
    <col min="11267" max="11267" width="15.42578125" style="185" customWidth="1"/>
    <col min="11268" max="11268" width="16.42578125" style="185" customWidth="1"/>
    <col min="11269" max="11269" width="16.140625" style="185" customWidth="1"/>
    <col min="11270" max="11270" width="13.7109375" style="185" customWidth="1"/>
    <col min="11271" max="11271" width="18.85546875" style="185" customWidth="1"/>
    <col min="11272" max="11272" width="15.7109375" style="185" customWidth="1"/>
    <col min="11273" max="11274" width="16.5703125" style="185" customWidth="1"/>
    <col min="11275" max="11275" width="13.140625" style="185" bestFit="1" customWidth="1"/>
    <col min="11276" max="11276" width="13.42578125" style="185" customWidth="1"/>
    <col min="11277" max="11277" width="14.7109375" style="185" customWidth="1"/>
    <col min="11278" max="11278" width="14.7109375" style="185" bestFit="1" customWidth="1"/>
    <col min="11279" max="11283" width="14.42578125" style="185" customWidth="1"/>
    <col min="11284" max="11284" width="14.85546875" style="185" bestFit="1" customWidth="1"/>
    <col min="11285" max="11285" width="10.85546875" style="185" bestFit="1" customWidth="1"/>
    <col min="11286" max="11520" width="9.140625" style="185"/>
    <col min="11521" max="11521" width="8.42578125" style="185" customWidth="1"/>
    <col min="11522" max="11522" width="14.42578125" style="185" customWidth="1"/>
    <col min="11523" max="11523" width="15.42578125" style="185" customWidth="1"/>
    <col min="11524" max="11524" width="16.42578125" style="185" customWidth="1"/>
    <col min="11525" max="11525" width="16.140625" style="185" customWidth="1"/>
    <col min="11526" max="11526" width="13.7109375" style="185" customWidth="1"/>
    <col min="11527" max="11527" width="18.85546875" style="185" customWidth="1"/>
    <col min="11528" max="11528" width="15.7109375" style="185" customWidth="1"/>
    <col min="11529" max="11530" width="16.5703125" style="185" customWidth="1"/>
    <col min="11531" max="11531" width="13.140625" style="185" bestFit="1" customWidth="1"/>
    <col min="11532" max="11532" width="13.42578125" style="185" customWidth="1"/>
    <col min="11533" max="11533" width="14.7109375" style="185" customWidth="1"/>
    <col min="11534" max="11534" width="14.7109375" style="185" bestFit="1" customWidth="1"/>
    <col min="11535" max="11539" width="14.42578125" style="185" customWidth="1"/>
    <col min="11540" max="11540" width="14.85546875" style="185" bestFit="1" customWidth="1"/>
    <col min="11541" max="11541" width="10.85546875" style="185" bestFit="1" customWidth="1"/>
    <col min="11542" max="11776" width="9.140625" style="185"/>
    <col min="11777" max="11777" width="8.42578125" style="185" customWidth="1"/>
    <col min="11778" max="11778" width="14.42578125" style="185" customWidth="1"/>
    <col min="11779" max="11779" width="15.42578125" style="185" customWidth="1"/>
    <col min="11780" max="11780" width="16.42578125" style="185" customWidth="1"/>
    <col min="11781" max="11781" width="16.140625" style="185" customWidth="1"/>
    <col min="11782" max="11782" width="13.7109375" style="185" customWidth="1"/>
    <col min="11783" max="11783" width="18.85546875" style="185" customWidth="1"/>
    <col min="11784" max="11784" width="15.7109375" style="185" customWidth="1"/>
    <col min="11785" max="11786" width="16.5703125" style="185" customWidth="1"/>
    <col min="11787" max="11787" width="13.140625" style="185" bestFit="1" customWidth="1"/>
    <col min="11788" max="11788" width="13.42578125" style="185" customWidth="1"/>
    <col min="11789" max="11789" width="14.7109375" style="185" customWidth="1"/>
    <col min="11790" max="11790" width="14.7109375" style="185" bestFit="1" customWidth="1"/>
    <col min="11791" max="11795" width="14.42578125" style="185" customWidth="1"/>
    <col min="11796" max="11796" width="14.85546875" style="185" bestFit="1" customWidth="1"/>
    <col min="11797" max="11797" width="10.85546875" style="185" bestFit="1" customWidth="1"/>
    <col min="11798" max="12032" width="9.140625" style="185"/>
    <col min="12033" max="12033" width="8.42578125" style="185" customWidth="1"/>
    <col min="12034" max="12034" width="14.42578125" style="185" customWidth="1"/>
    <col min="12035" max="12035" width="15.42578125" style="185" customWidth="1"/>
    <col min="12036" max="12036" width="16.42578125" style="185" customWidth="1"/>
    <col min="12037" max="12037" width="16.140625" style="185" customWidth="1"/>
    <col min="12038" max="12038" width="13.7109375" style="185" customWidth="1"/>
    <col min="12039" max="12039" width="18.85546875" style="185" customWidth="1"/>
    <col min="12040" max="12040" width="15.7109375" style="185" customWidth="1"/>
    <col min="12041" max="12042" width="16.5703125" style="185" customWidth="1"/>
    <col min="12043" max="12043" width="13.140625" style="185" bestFit="1" customWidth="1"/>
    <col min="12044" max="12044" width="13.42578125" style="185" customWidth="1"/>
    <col min="12045" max="12045" width="14.7109375" style="185" customWidth="1"/>
    <col min="12046" max="12046" width="14.7109375" style="185" bestFit="1" customWidth="1"/>
    <col min="12047" max="12051" width="14.42578125" style="185" customWidth="1"/>
    <col min="12052" max="12052" width="14.85546875" style="185" bestFit="1" customWidth="1"/>
    <col min="12053" max="12053" width="10.85546875" style="185" bestFit="1" customWidth="1"/>
    <col min="12054" max="12288" width="9.140625" style="185"/>
    <col min="12289" max="12289" width="8.42578125" style="185" customWidth="1"/>
    <col min="12290" max="12290" width="14.42578125" style="185" customWidth="1"/>
    <col min="12291" max="12291" width="15.42578125" style="185" customWidth="1"/>
    <col min="12292" max="12292" width="16.42578125" style="185" customWidth="1"/>
    <col min="12293" max="12293" width="16.140625" style="185" customWidth="1"/>
    <col min="12294" max="12294" width="13.7109375" style="185" customWidth="1"/>
    <col min="12295" max="12295" width="18.85546875" style="185" customWidth="1"/>
    <col min="12296" max="12296" width="15.7109375" style="185" customWidth="1"/>
    <col min="12297" max="12298" width="16.5703125" style="185" customWidth="1"/>
    <col min="12299" max="12299" width="13.140625" style="185" bestFit="1" customWidth="1"/>
    <col min="12300" max="12300" width="13.42578125" style="185" customWidth="1"/>
    <col min="12301" max="12301" width="14.7109375" style="185" customWidth="1"/>
    <col min="12302" max="12302" width="14.7109375" style="185" bestFit="1" customWidth="1"/>
    <col min="12303" max="12307" width="14.42578125" style="185" customWidth="1"/>
    <col min="12308" max="12308" width="14.85546875" style="185" bestFit="1" customWidth="1"/>
    <col min="12309" max="12309" width="10.85546875" style="185" bestFit="1" customWidth="1"/>
    <col min="12310" max="12544" width="9.140625" style="185"/>
    <col min="12545" max="12545" width="8.42578125" style="185" customWidth="1"/>
    <col min="12546" max="12546" width="14.42578125" style="185" customWidth="1"/>
    <col min="12547" max="12547" width="15.42578125" style="185" customWidth="1"/>
    <col min="12548" max="12548" width="16.42578125" style="185" customWidth="1"/>
    <col min="12549" max="12549" width="16.140625" style="185" customWidth="1"/>
    <col min="12550" max="12550" width="13.7109375" style="185" customWidth="1"/>
    <col min="12551" max="12551" width="18.85546875" style="185" customWidth="1"/>
    <col min="12552" max="12552" width="15.7109375" style="185" customWidth="1"/>
    <col min="12553" max="12554" width="16.5703125" style="185" customWidth="1"/>
    <col min="12555" max="12555" width="13.140625" style="185" bestFit="1" customWidth="1"/>
    <col min="12556" max="12556" width="13.42578125" style="185" customWidth="1"/>
    <col min="12557" max="12557" width="14.7109375" style="185" customWidth="1"/>
    <col min="12558" max="12558" width="14.7109375" style="185" bestFit="1" customWidth="1"/>
    <col min="12559" max="12563" width="14.42578125" style="185" customWidth="1"/>
    <col min="12564" max="12564" width="14.85546875" style="185" bestFit="1" customWidth="1"/>
    <col min="12565" max="12565" width="10.85546875" style="185" bestFit="1" customWidth="1"/>
    <col min="12566" max="12800" width="9.140625" style="185"/>
    <col min="12801" max="12801" width="8.42578125" style="185" customWidth="1"/>
    <col min="12802" max="12802" width="14.42578125" style="185" customWidth="1"/>
    <col min="12803" max="12803" width="15.42578125" style="185" customWidth="1"/>
    <col min="12804" max="12804" width="16.42578125" style="185" customWidth="1"/>
    <col min="12805" max="12805" width="16.140625" style="185" customWidth="1"/>
    <col min="12806" max="12806" width="13.7109375" style="185" customWidth="1"/>
    <col min="12807" max="12807" width="18.85546875" style="185" customWidth="1"/>
    <col min="12808" max="12808" width="15.7109375" style="185" customWidth="1"/>
    <col min="12809" max="12810" width="16.5703125" style="185" customWidth="1"/>
    <col min="12811" max="12811" width="13.140625" style="185" bestFit="1" customWidth="1"/>
    <col min="12812" max="12812" width="13.42578125" style="185" customWidth="1"/>
    <col min="12813" max="12813" width="14.7109375" style="185" customWidth="1"/>
    <col min="12814" max="12814" width="14.7109375" style="185" bestFit="1" customWidth="1"/>
    <col min="12815" max="12819" width="14.42578125" style="185" customWidth="1"/>
    <col min="12820" max="12820" width="14.85546875" style="185" bestFit="1" customWidth="1"/>
    <col min="12821" max="12821" width="10.85546875" style="185" bestFit="1" customWidth="1"/>
    <col min="12822" max="13056" width="9.140625" style="185"/>
    <col min="13057" max="13057" width="8.42578125" style="185" customWidth="1"/>
    <col min="13058" max="13058" width="14.42578125" style="185" customWidth="1"/>
    <col min="13059" max="13059" width="15.42578125" style="185" customWidth="1"/>
    <col min="13060" max="13060" width="16.42578125" style="185" customWidth="1"/>
    <col min="13061" max="13061" width="16.140625" style="185" customWidth="1"/>
    <col min="13062" max="13062" width="13.7109375" style="185" customWidth="1"/>
    <col min="13063" max="13063" width="18.85546875" style="185" customWidth="1"/>
    <col min="13064" max="13064" width="15.7109375" style="185" customWidth="1"/>
    <col min="13065" max="13066" width="16.5703125" style="185" customWidth="1"/>
    <col min="13067" max="13067" width="13.140625" style="185" bestFit="1" customWidth="1"/>
    <col min="13068" max="13068" width="13.42578125" style="185" customWidth="1"/>
    <col min="13069" max="13069" width="14.7109375" style="185" customWidth="1"/>
    <col min="13070" max="13070" width="14.7109375" style="185" bestFit="1" customWidth="1"/>
    <col min="13071" max="13075" width="14.42578125" style="185" customWidth="1"/>
    <col min="13076" max="13076" width="14.85546875" style="185" bestFit="1" customWidth="1"/>
    <col min="13077" max="13077" width="10.85546875" style="185" bestFit="1" customWidth="1"/>
    <col min="13078" max="13312" width="9.140625" style="185"/>
    <col min="13313" max="13313" width="8.42578125" style="185" customWidth="1"/>
    <col min="13314" max="13314" width="14.42578125" style="185" customWidth="1"/>
    <col min="13315" max="13315" width="15.42578125" style="185" customWidth="1"/>
    <col min="13316" max="13316" width="16.42578125" style="185" customWidth="1"/>
    <col min="13317" max="13317" width="16.140625" style="185" customWidth="1"/>
    <col min="13318" max="13318" width="13.7109375" style="185" customWidth="1"/>
    <col min="13319" max="13319" width="18.85546875" style="185" customWidth="1"/>
    <col min="13320" max="13320" width="15.7109375" style="185" customWidth="1"/>
    <col min="13321" max="13322" width="16.5703125" style="185" customWidth="1"/>
    <col min="13323" max="13323" width="13.140625" style="185" bestFit="1" customWidth="1"/>
    <col min="13324" max="13324" width="13.42578125" style="185" customWidth="1"/>
    <col min="13325" max="13325" width="14.7109375" style="185" customWidth="1"/>
    <col min="13326" max="13326" width="14.7109375" style="185" bestFit="1" customWidth="1"/>
    <col min="13327" max="13331" width="14.42578125" style="185" customWidth="1"/>
    <col min="13332" max="13332" width="14.85546875" style="185" bestFit="1" customWidth="1"/>
    <col min="13333" max="13333" width="10.85546875" style="185" bestFit="1" customWidth="1"/>
    <col min="13334" max="13568" width="9.140625" style="185"/>
    <col min="13569" max="13569" width="8.42578125" style="185" customWidth="1"/>
    <col min="13570" max="13570" width="14.42578125" style="185" customWidth="1"/>
    <col min="13571" max="13571" width="15.42578125" style="185" customWidth="1"/>
    <col min="13572" max="13572" width="16.42578125" style="185" customWidth="1"/>
    <col min="13573" max="13573" width="16.140625" style="185" customWidth="1"/>
    <col min="13574" max="13574" width="13.7109375" style="185" customWidth="1"/>
    <col min="13575" max="13575" width="18.85546875" style="185" customWidth="1"/>
    <col min="13576" max="13576" width="15.7109375" style="185" customWidth="1"/>
    <col min="13577" max="13578" width="16.5703125" style="185" customWidth="1"/>
    <col min="13579" max="13579" width="13.140625" style="185" bestFit="1" customWidth="1"/>
    <col min="13580" max="13580" width="13.42578125" style="185" customWidth="1"/>
    <col min="13581" max="13581" width="14.7109375" style="185" customWidth="1"/>
    <col min="13582" max="13582" width="14.7109375" style="185" bestFit="1" customWidth="1"/>
    <col min="13583" max="13587" width="14.42578125" style="185" customWidth="1"/>
    <col min="13588" max="13588" width="14.85546875" style="185" bestFit="1" customWidth="1"/>
    <col min="13589" max="13589" width="10.85546875" style="185" bestFit="1" customWidth="1"/>
    <col min="13590" max="13824" width="9.140625" style="185"/>
    <col min="13825" max="13825" width="8.42578125" style="185" customWidth="1"/>
    <col min="13826" max="13826" width="14.42578125" style="185" customWidth="1"/>
    <col min="13827" max="13827" width="15.42578125" style="185" customWidth="1"/>
    <col min="13828" max="13828" width="16.42578125" style="185" customWidth="1"/>
    <col min="13829" max="13829" width="16.140625" style="185" customWidth="1"/>
    <col min="13830" max="13830" width="13.7109375" style="185" customWidth="1"/>
    <col min="13831" max="13831" width="18.85546875" style="185" customWidth="1"/>
    <col min="13832" max="13832" width="15.7109375" style="185" customWidth="1"/>
    <col min="13833" max="13834" width="16.5703125" style="185" customWidth="1"/>
    <col min="13835" max="13835" width="13.140625" style="185" bestFit="1" customWidth="1"/>
    <col min="13836" max="13836" width="13.42578125" style="185" customWidth="1"/>
    <col min="13837" max="13837" width="14.7109375" style="185" customWidth="1"/>
    <col min="13838" max="13838" width="14.7109375" style="185" bestFit="1" customWidth="1"/>
    <col min="13839" max="13843" width="14.42578125" style="185" customWidth="1"/>
    <col min="13844" max="13844" width="14.85546875" style="185" bestFit="1" customWidth="1"/>
    <col min="13845" max="13845" width="10.85546875" style="185" bestFit="1" customWidth="1"/>
    <col min="13846" max="14080" width="9.140625" style="185"/>
    <col min="14081" max="14081" width="8.42578125" style="185" customWidth="1"/>
    <col min="14082" max="14082" width="14.42578125" style="185" customWidth="1"/>
    <col min="14083" max="14083" width="15.42578125" style="185" customWidth="1"/>
    <col min="14084" max="14084" width="16.42578125" style="185" customWidth="1"/>
    <col min="14085" max="14085" width="16.140625" style="185" customWidth="1"/>
    <col min="14086" max="14086" width="13.7109375" style="185" customWidth="1"/>
    <col min="14087" max="14087" width="18.85546875" style="185" customWidth="1"/>
    <col min="14088" max="14088" width="15.7109375" style="185" customWidth="1"/>
    <col min="14089" max="14090" width="16.5703125" style="185" customWidth="1"/>
    <col min="14091" max="14091" width="13.140625" style="185" bestFit="1" customWidth="1"/>
    <col min="14092" max="14092" width="13.42578125" style="185" customWidth="1"/>
    <col min="14093" max="14093" width="14.7109375" style="185" customWidth="1"/>
    <col min="14094" max="14094" width="14.7109375" style="185" bestFit="1" customWidth="1"/>
    <col min="14095" max="14099" width="14.42578125" style="185" customWidth="1"/>
    <col min="14100" max="14100" width="14.85546875" style="185" bestFit="1" customWidth="1"/>
    <col min="14101" max="14101" width="10.85546875" style="185" bestFit="1" customWidth="1"/>
    <col min="14102" max="14336" width="9.140625" style="185"/>
    <col min="14337" max="14337" width="8.42578125" style="185" customWidth="1"/>
    <col min="14338" max="14338" width="14.42578125" style="185" customWidth="1"/>
    <col min="14339" max="14339" width="15.42578125" style="185" customWidth="1"/>
    <col min="14340" max="14340" width="16.42578125" style="185" customWidth="1"/>
    <col min="14341" max="14341" width="16.140625" style="185" customWidth="1"/>
    <col min="14342" max="14342" width="13.7109375" style="185" customWidth="1"/>
    <col min="14343" max="14343" width="18.85546875" style="185" customWidth="1"/>
    <col min="14344" max="14344" width="15.7109375" style="185" customWidth="1"/>
    <col min="14345" max="14346" width="16.5703125" style="185" customWidth="1"/>
    <col min="14347" max="14347" width="13.140625" style="185" bestFit="1" customWidth="1"/>
    <col min="14348" max="14348" width="13.42578125" style="185" customWidth="1"/>
    <col min="14349" max="14349" width="14.7109375" style="185" customWidth="1"/>
    <col min="14350" max="14350" width="14.7109375" style="185" bestFit="1" customWidth="1"/>
    <col min="14351" max="14355" width="14.42578125" style="185" customWidth="1"/>
    <col min="14356" max="14356" width="14.85546875" style="185" bestFit="1" customWidth="1"/>
    <col min="14357" max="14357" width="10.85546875" style="185" bestFit="1" customWidth="1"/>
    <col min="14358" max="14592" width="9.140625" style="185"/>
    <col min="14593" max="14593" width="8.42578125" style="185" customWidth="1"/>
    <col min="14594" max="14594" width="14.42578125" style="185" customWidth="1"/>
    <col min="14595" max="14595" width="15.42578125" style="185" customWidth="1"/>
    <col min="14596" max="14596" width="16.42578125" style="185" customWidth="1"/>
    <col min="14597" max="14597" width="16.140625" style="185" customWidth="1"/>
    <col min="14598" max="14598" width="13.7109375" style="185" customWidth="1"/>
    <col min="14599" max="14599" width="18.85546875" style="185" customWidth="1"/>
    <col min="14600" max="14600" width="15.7109375" style="185" customWidth="1"/>
    <col min="14601" max="14602" width="16.5703125" style="185" customWidth="1"/>
    <col min="14603" max="14603" width="13.140625" style="185" bestFit="1" customWidth="1"/>
    <col min="14604" max="14604" width="13.42578125" style="185" customWidth="1"/>
    <col min="14605" max="14605" width="14.7109375" style="185" customWidth="1"/>
    <col min="14606" max="14606" width="14.7109375" style="185" bestFit="1" customWidth="1"/>
    <col min="14607" max="14611" width="14.42578125" style="185" customWidth="1"/>
    <col min="14612" max="14612" width="14.85546875" style="185" bestFit="1" customWidth="1"/>
    <col min="14613" max="14613" width="10.85546875" style="185" bestFit="1" customWidth="1"/>
    <col min="14614" max="14848" width="9.140625" style="185"/>
    <col min="14849" max="14849" width="8.42578125" style="185" customWidth="1"/>
    <col min="14850" max="14850" width="14.42578125" style="185" customWidth="1"/>
    <col min="14851" max="14851" width="15.42578125" style="185" customWidth="1"/>
    <col min="14852" max="14852" width="16.42578125" style="185" customWidth="1"/>
    <col min="14853" max="14853" width="16.140625" style="185" customWidth="1"/>
    <col min="14854" max="14854" width="13.7109375" style="185" customWidth="1"/>
    <col min="14855" max="14855" width="18.85546875" style="185" customWidth="1"/>
    <col min="14856" max="14856" width="15.7109375" style="185" customWidth="1"/>
    <col min="14857" max="14858" width="16.5703125" style="185" customWidth="1"/>
    <col min="14859" max="14859" width="13.140625" style="185" bestFit="1" customWidth="1"/>
    <col min="14860" max="14860" width="13.42578125" style="185" customWidth="1"/>
    <col min="14861" max="14861" width="14.7109375" style="185" customWidth="1"/>
    <col min="14862" max="14862" width="14.7109375" style="185" bestFit="1" customWidth="1"/>
    <col min="14863" max="14867" width="14.42578125" style="185" customWidth="1"/>
    <col min="14868" max="14868" width="14.85546875" style="185" bestFit="1" customWidth="1"/>
    <col min="14869" max="14869" width="10.85546875" style="185" bestFit="1" customWidth="1"/>
    <col min="14870" max="15104" width="9.140625" style="185"/>
    <col min="15105" max="15105" width="8.42578125" style="185" customWidth="1"/>
    <col min="15106" max="15106" width="14.42578125" style="185" customWidth="1"/>
    <col min="15107" max="15107" width="15.42578125" style="185" customWidth="1"/>
    <col min="15108" max="15108" width="16.42578125" style="185" customWidth="1"/>
    <col min="15109" max="15109" width="16.140625" style="185" customWidth="1"/>
    <col min="15110" max="15110" width="13.7109375" style="185" customWidth="1"/>
    <col min="15111" max="15111" width="18.85546875" style="185" customWidth="1"/>
    <col min="15112" max="15112" width="15.7109375" style="185" customWidth="1"/>
    <col min="15113" max="15114" width="16.5703125" style="185" customWidth="1"/>
    <col min="15115" max="15115" width="13.140625" style="185" bestFit="1" customWidth="1"/>
    <col min="15116" max="15116" width="13.42578125" style="185" customWidth="1"/>
    <col min="15117" max="15117" width="14.7109375" style="185" customWidth="1"/>
    <col min="15118" max="15118" width="14.7109375" style="185" bestFit="1" customWidth="1"/>
    <col min="15119" max="15123" width="14.42578125" style="185" customWidth="1"/>
    <col min="15124" max="15124" width="14.85546875" style="185" bestFit="1" customWidth="1"/>
    <col min="15125" max="15125" width="10.85546875" style="185" bestFit="1" customWidth="1"/>
    <col min="15126" max="15360" width="9.140625" style="185"/>
    <col min="15361" max="15361" width="8.42578125" style="185" customWidth="1"/>
    <col min="15362" max="15362" width="14.42578125" style="185" customWidth="1"/>
    <col min="15363" max="15363" width="15.42578125" style="185" customWidth="1"/>
    <col min="15364" max="15364" width="16.42578125" style="185" customWidth="1"/>
    <col min="15365" max="15365" width="16.140625" style="185" customWidth="1"/>
    <col min="15366" max="15366" width="13.7109375" style="185" customWidth="1"/>
    <col min="15367" max="15367" width="18.85546875" style="185" customWidth="1"/>
    <col min="15368" max="15368" width="15.7109375" style="185" customWidth="1"/>
    <col min="15369" max="15370" width="16.5703125" style="185" customWidth="1"/>
    <col min="15371" max="15371" width="13.140625" style="185" bestFit="1" customWidth="1"/>
    <col min="15372" max="15372" width="13.42578125" style="185" customWidth="1"/>
    <col min="15373" max="15373" width="14.7109375" style="185" customWidth="1"/>
    <col min="15374" max="15374" width="14.7109375" style="185" bestFit="1" customWidth="1"/>
    <col min="15375" max="15379" width="14.42578125" style="185" customWidth="1"/>
    <col min="15380" max="15380" width="14.85546875" style="185" bestFit="1" customWidth="1"/>
    <col min="15381" max="15381" width="10.85546875" style="185" bestFit="1" customWidth="1"/>
    <col min="15382" max="15616" width="9.140625" style="185"/>
    <col min="15617" max="15617" width="8.42578125" style="185" customWidth="1"/>
    <col min="15618" max="15618" width="14.42578125" style="185" customWidth="1"/>
    <col min="15619" max="15619" width="15.42578125" style="185" customWidth="1"/>
    <col min="15620" max="15620" width="16.42578125" style="185" customWidth="1"/>
    <col min="15621" max="15621" width="16.140625" style="185" customWidth="1"/>
    <col min="15622" max="15622" width="13.7109375" style="185" customWidth="1"/>
    <col min="15623" max="15623" width="18.85546875" style="185" customWidth="1"/>
    <col min="15624" max="15624" width="15.7109375" style="185" customWidth="1"/>
    <col min="15625" max="15626" width="16.5703125" style="185" customWidth="1"/>
    <col min="15627" max="15627" width="13.140625" style="185" bestFit="1" customWidth="1"/>
    <col min="15628" max="15628" width="13.42578125" style="185" customWidth="1"/>
    <col min="15629" max="15629" width="14.7109375" style="185" customWidth="1"/>
    <col min="15630" max="15630" width="14.7109375" style="185" bestFit="1" customWidth="1"/>
    <col min="15631" max="15635" width="14.42578125" style="185" customWidth="1"/>
    <col min="15636" max="15636" width="14.85546875" style="185" bestFit="1" customWidth="1"/>
    <col min="15637" max="15637" width="10.85546875" style="185" bestFit="1" customWidth="1"/>
    <col min="15638" max="15872" width="9.140625" style="185"/>
    <col min="15873" max="15873" width="8.42578125" style="185" customWidth="1"/>
    <col min="15874" max="15874" width="14.42578125" style="185" customWidth="1"/>
    <col min="15875" max="15875" width="15.42578125" style="185" customWidth="1"/>
    <col min="15876" max="15876" width="16.42578125" style="185" customWidth="1"/>
    <col min="15877" max="15877" width="16.140625" style="185" customWidth="1"/>
    <col min="15878" max="15878" width="13.7109375" style="185" customWidth="1"/>
    <col min="15879" max="15879" width="18.85546875" style="185" customWidth="1"/>
    <col min="15880" max="15880" width="15.7109375" style="185" customWidth="1"/>
    <col min="15881" max="15882" width="16.5703125" style="185" customWidth="1"/>
    <col min="15883" max="15883" width="13.140625" style="185" bestFit="1" customWidth="1"/>
    <col min="15884" max="15884" width="13.42578125" style="185" customWidth="1"/>
    <col min="15885" max="15885" width="14.7109375" style="185" customWidth="1"/>
    <col min="15886" max="15886" width="14.7109375" style="185" bestFit="1" customWidth="1"/>
    <col min="15887" max="15891" width="14.42578125" style="185" customWidth="1"/>
    <col min="15892" max="15892" width="14.85546875" style="185" bestFit="1" customWidth="1"/>
    <col min="15893" max="15893" width="10.85546875" style="185" bestFit="1" customWidth="1"/>
    <col min="15894" max="16128" width="9.140625" style="185"/>
    <col min="16129" max="16129" width="8.42578125" style="185" customWidth="1"/>
    <col min="16130" max="16130" width="14.42578125" style="185" customWidth="1"/>
    <col min="16131" max="16131" width="15.42578125" style="185" customWidth="1"/>
    <col min="16132" max="16132" width="16.42578125" style="185" customWidth="1"/>
    <col min="16133" max="16133" width="16.140625" style="185" customWidth="1"/>
    <col min="16134" max="16134" width="13.7109375" style="185" customWidth="1"/>
    <col min="16135" max="16135" width="18.85546875" style="185" customWidth="1"/>
    <col min="16136" max="16136" width="15.7109375" style="185" customWidth="1"/>
    <col min="16137" max="16138" width="16.5703125" style="185" customWidth="1"/>
    <col min="16139" max="16139" width="13.140625" style="185" bestFit="1" customWidth="1"/>
    <col min="16140" max="16140" width="13.42578125" style="185" customWidth="1"/>
    <col min="16141" max="16141" width="14.7109375" style="185" customWidth="1"/>
    <col min="16142" max="16142" width="14.7109375" style="185" bestFit="1" customWidth="1"/>
    <col min="16143" max="16147" width="14.42578125" style="185" customWidth="1"/>
    <col min="16148" max="16148" width="14.85546875" style="185" bestFit="1" customWidth="1"/>
    <col min="16149" max="16149" width="10.85546875" style="185" bestFit="1" customWidth="1"/>
    <col min="16150" max="16384" width="9.140625" style="185"/>
  </cols>
  <sheetData>
    <row r="1" spans="1:10" ht="18" customHeight="1" x14ac:dyDescent="0.2">
      <c r="A1" s="545" t="s">
        <v>210</v>
      </c>
      <c r="B1" s="545"/>
      <c r="C1" s="545"/>
      <c r="D1" s="545"/>
      <c r="E1" s="545"/>
      <c r="F1" s="545"/>
      <c r="G1" s="545"/>
      <c r="H1" s="545"/>
      <c r="I1" s="545"/>
      <c r="J1" s="545"/>
    </row>
    <row r="2" spans="1:10" x14ac:dyDescent="0.2">
      <c r="A2" s="186"/>
      <c r="B2" s="187"/>
      <c r="C2" s="188"/>
      <c r="D2" s="188"/>
      <c r="E2" s="189"/>
      <c r="F2" s="189"/>
    </row>
    <row r="3" spans="1:10" x14ac:dyDescent="0.2">
      <c r="A3" s="186" t="s">
        <v>211</v>
      </c>
      <c r="B3" s="546" t="s">
        <v>241</v>
      </c>
      <c r="C3" s="546"/>
      <c r="D3" s="546"/>
      <c r="E3" s="546"/>
      <c r="F3" s="546"/>
      <c r="G3" s="546"/>
      <c r="H3" s="546"/>
      <c r="I3" s="546"/>
      <c r="J3" s="191"/>
    </row>
    <row r="4" spans="1:10" x14ac:dyDescent="0.2">
      <c r="A4" s="192"/>
      <c r="B4" s="546"/>
      <c r="C4" s="546"/>
      <c r="D4" s="546"/>
      <c r="E4" s="546"/>
      <c r="F4" s="546"/>
      <c r="G4" s="546"/>
      <c r="H4" s="546"/>
      <c r="I4" s="546"/>
      <c r="J4" s="191"/>
    </row>
    <row r="5" spans="1:10" ht="15" customHeight="1" x14ac:dyDescent="0.2">
      <c r="A5" s="547" t="str">
        <f>CONCATENATE("PLAZO: ",A42," MESES (",A43,")")</f>
        <v>PLAZO: 24 MESES (720 dias)</v>
      </c>
      <c r="B5" s="547"/>
      <c r="C5" s="547"/>
      <c r="E5" s="194" t="s">
        <v>212</v>
      </c>
    </row>
    <row r="7" spans="1:10" x14ac:dyDescent="0.2">
      <c r="C7" s="196" t="s">
        <v>214</v>
      </c>
      <c r="D7" s="548"/>
      <c r="E7" s="548"/>
      <c r="F7" s="548"/>
      <c r="H7" s="196" t="s">
        <v>215</v>
      </c>
      <c r="I7" s="197">
        <f ca="1">NOW()</f>
        <v>42618.498752893516</v>
      </c>
    </row>
    <row r="8" spans="1:10" x14ac:dyDescent="0.2">
      <c r="C8" s="196" t="str">
        <f>IF(D7=0,"MONTO ESTIMADO CON IVA:","MONTO DE CONTRATO CON IVA:")</f>
        <v>MONTO ESTIMADO CON IVA:</v>
      </c>
      <c r="D8" s="198">
        <f>+'3. PEP'!G28</f>
        <v>37550000</v>
      </c>
      <c r="E8" s="199" t="s">
        <v>216</v>
      </c>
      <c r="F8" s="185" t="s">
        <v>217</v>
      </c>
      <c r="H8" s="190" t="s">
        <v>218</v>
      </c>
      <c r="I8" s="200">
        <v>1</v>
      </c>
    </row>
    <row r="9" spans="1:10" hidden="1" x14ac:dyDescent="0.2">
      <c r="C9" s="196"/>
      <c r="D9" s="198"/>
      <c r="E9" s="193" t="s">
        <v>219</v>
      </c>
      <c r="I9" s="201"/>
    </row>
    <row r="10" spans="1:10" hidden="1" x14ac:dyDescent="0.2">
      <c r="C10" s="196"/>
      <c r="D10" s="198"/>
      <c r="E10" s="193" t="s">
        <v>216</v>
      </c>
      <c r="I10" s="201"/>
    </row>
    <row r="11" spans="1:10" x14ac:dyDescent="0.2">
      <c r="B11" s="185"/>
      <c r="C11" s="196" t="str">
        <f>IF(D7=0,"MONTO ESTIMADO SIN IVA:","MONTO DE CONTRATO SIN IVA:")</f>
        <v>MONTO ESTIMADO SIN IVA:</v>
      </c>
      <c r="D11" s="202">
        <f>D8</f>
        <v>37550000</v>
      </c>
      <c r="E11" s="203" t="s">
        <v>219</v>
      </c>
      <c r="F11" s="193"/>
    </row>
    <row r="12" spans="1:10" x14ac:dyDescent="0.2">
      <c r="B12" s="185"/>
      <c r="C12" s="196" t="s">
        <v>220</v>
      </c>
      <c r="D12" s="200">
        <v>100</v>
      </c>
      <c r="F12" s="193" t="s">
        <v>221</v>
      </c>
    </row>
    <row r="13" spans="1:10" x14ac:dyDescent="0.2">
      <c r="B13" s="185"/>
      <c r="C13" s="196" t="s">
        <v>222</v>
      </c>
      <c r="D13" s="204">
        <f>100-D12</f>
        <v>0</v>
      </c>
      <c r="F13" s="193"/>
    </row>
    <row r="14" spans="1:10" x14ac:dyDescent="0.2">
      <c r="B14" s="185"/>
      <c r="C14" s="196" t="s">
        <v>223</v>
      </c>
      <c r="D14" s="201">
        <v>20</v>
      </c>
      <c r="F14" s="193"/>
    </row>
    <row r="15" spans="1:10" x14ac:dyDescent="0.2">
      <c r="B15" s="196" t="s">
        <v>224</v>
      </c>
      <c r="C15" s="549"/>
      <c r="D15" s="549"/>
      <c r="E15" s="205" t="s">
        <v>225</v>
      </c>
      <c r="F15" s="206"/>
      <c r="H15" s="207" t="s">
        <v>226</v>
      </c>
      <c r="I15" s="200">
        <v>10</v>
      </c>
    </row>
    <row r="16" spans="1:10" ht="12.75" thickBot="1" x14ac:dyDescent="0.25">
      <c r="F16" s="208"/>
    </row>
    <row r="17" spans="1:11" ht="42" customHeight="1" thickBot="1" x14ac:dyDescent="0.25">
      <c r="A17" s="209" t="s">
        <v>227</v>
      </c>
      <c r="B17" s="210" t="s">
        <v>228</v>
      </c>
      <c r="C17" s="210" t="s">
        <v>229</v>
      </c>
      <c r="D17" s="211" t="str">
        <f>CONCATENATE("MONTO MENSUAL DESCONTADO ",ROUND(D14,0),"% ANTICIPO")</f>
        <v>MONTO MENSUAL DESCONTADO 20% ANTICIPO</v>
      </c>
      <c r="E17" s="212" t="s">
        <v>230</v>
      </c>
      <c r="F17" s="213" t="s">
        <v>231</v>
      </c>
      <c r="G17" s="214" t="s">
        <v>232</v>
      </c>
      <c r="H17" s="215" t="s">
        <v>233</v>
      </c>
      <c r="I17" s="216" t="str">
        <f>CONCATENATE("DESEMBOLSOS FONDO LOCAL (",ROUND(D13,0),"%) + IVA")</f>
        <v>DESEMBOLSOS FONDO LOCAL (0%) + IVA</v>
      </c>
      <c r="J17" s="216" t="str">
        <f>CONCATENATE("DESEMBOLSOS FONDO EXTERNO (",ROUND(D12,0),"%)")</f>
        <v>DESEMBOLSOS FONDO EXTERNO (100%)</v>
      </c>
    </row>
    <row r="18" spans="1:11" ht="12.75" customHeight="1" x14ac:dyDescent="0.2">
      <c r="A18" s="217">
        <v>0</v>
      </c>
      <c r="B18" s="218">
        <f>D14/100</f>
        <v>0.2</v>
      </c>
      <c r="C18" s="218">
        <v>0</v>
      </c>
      <c r="D18" s="219">
        <f>ROUND(B18*D11,0)</f>
        <v>7510000</v>
      </c>
      <c r="E18" s="220">
        <f>D18</f>
        <v>7510000</v>
      </c>
      <c r="F18" s="221">
        <f>E18/$E$42</f>
        <v>0.2</v>
      </c>
      <c r="G18" s="222" t="s">
        <v>234</v>
      </c>
      <c r="H18" s="223">
        <f t="shared" ref="H18:H33" si="0">ROUND(D18*0.1,0)</f>
        <v>751000</v>
      </c>
      <c r="I18" s="224">
        <f t="shared" ref="I18:I42" si="1">ROUNDUP((D18+H18-J18),-(LEN(D18)-$I$15))</f>
        <v>751000</v>
      </c>
      <c r="J18" s="224">
        <f t="shared" ref="J18:J33" si="2">ROUNDUP(D18*$D$12/100,-(LEN(D18)-$I$15))</f>
        <v>7510000</v>
      </c>
    </row>
    <row r="19" spans="1:11" ht="12.75" thickBot="1" x14ac:dyDescent="0.25">
      <c r="A19" s="225">
        <v>1</v>
      </c>
      <c r="B19" s="226">
        <v>2.5000000000000001E-2</v>
      </c>
      <c r="C19" s="226">
        <f t="shared" ref="C19:C42" si="3">B19+C18</f>
        <v>2.5000000000000001E-2</v>
      </c>
      <c r="D19" s="227">
        <f>ROUND(B19*$D$11*(100-$D$14)/100,0)</f>
        <v>751000</v>
      </c>
      <c r="E19" s="228">
        <f t="shared" ref="E19:E33" si="4">E18+D19</f>
        <v>8261000</v>
      </c>
      <c r="F19" s="229">
        <f>E19/$E$42</f>
        <v>0.22</v>
      </c>
      <c r="G19" s="230" t="s">
        <v>124</v>
      </c>
      <c r="H19" s="231">
        <f t="shared" si="0"/>
        <v>75100</v>
      </c>
      <c r="I19" s="232">
        <f t="shared" si="1"/>
        <v>75100</v>
      </c>
      <c r="J19" s="232">
        <f t="shared" si="2"/>
        <v>751000</v>
      </c>
    </row>
    <row r="20" spans="1:11" x14ac:dyDescent="0.2">
      <c r="A20" s="225">
        <v>2</v>
      </c>
      <c r="B20" s="226">
        <v>0.03</v>
      </c>
      <c r="C20" s="226">
        <f t="shared" si="3"/>
        <v>5.5E-2</v>
      </c>
      <c r="D20" s="227">
        <f t="shared" ref="D20:D42" si="5">ROUND(B20*$D$11*(100-$D$14)/100,0)</f>
        <v>901200</v>
      </c>
      <c r="E20" s="228">
        <f t="shared" si="4"/>
        <v>9162200</v>
      </c>
      <c r="F20" s="221">
        <f t="shared" ref="F20:F42" si="6">E20/$E$42</f>
        <v>0.24399999999999999</v>
      </c>
      <c r="G20" s="230" t="s">
        <v>125</v>
      </c>
      <c r="H20" s="231">
        <f t="shared" si="0"/>
        <v>90120</v>
      </c>
      <c r="I20" s="232">
        <f t="shared" si="1"/>
        <v>90120</v>
      </c>
      <c r="J20" s="232">
        <f t="shared" si="2"/>
        <v>901200</v>
      </c>
      <c r="K20" s="233">
        <f>+SUM(J18:J20)</f>
        <v>9162200</v>
      </c>
    </row>
    <row r="21" spans="1:11" ht="12.75" thickBot="1" x14ac:dyDescent="0.25">
      <c r="A21" s="225">
        <v>3</v>
      </c>
      <c r="B21" s="226">
        <v>3.5000000000000003E-2</v>
      </c>
      <c r="C21" s="226">
        <f>B21+C20</f>
        <v>0.09</v>
      </c>
      <c r="D21" s="227">
        <f t="shared" si="5"/>
        <v>1051400</v>
      </c>
      <c r="E21" s="228">
        <f t="shared" si="4"/>
        <v>10213600</v>
      </c>
      <c r="F21" s="229">
        <f t="shared" si="6"/>
        <v>0.27200000000000002</v>
      </c>
      <c r="G21" s="230" t="s">
        <v>126</v>
      </c>
      <c r="H21" s="231">
        <f t="shared" si="0"/>
        <v>105140</v>
      </c>
      <c r="I21" s="232">
        <f t="shared" si="1"/>
        <v>105140</v>
      </c>
      <c r="J21" s="232">
        <f t="shared" si="2"/>
        <v>1051400</v>
      </c>
    </row>
    <row r="22" spans="1:11" x14ac:dyDescent="0.2">
      <c r="A22" s="225">
        <v>4</v>
      </c>
      <c r="B22" s="226">
        <v>3.5000000000000003E-2</v>
      </c>
      <c r="C22" s="226">
        <f t="shared" si="3"/>
        <v>0.125</v>
      </c>
      <c r="D22" s="227">
        <f t="shared" si="5"/>
        <v>1051400</v>
      </c>
      <c r="E22" s="228">
        <f t="shared" si="4"/>
        <v>11265000</v>
      </c>
      <c r="F22" s="221">
        <f t="shared" si="6"/>
        <v>0.3</v>
      </c>
      <c r="G22" s="230" t="s">
        <v>127</v>
      </c>
      <c r="H22" s="231">
        <f t="shared" si="0"/>
        <v>105140</v>
      </c>
      <c r="I22" s="232">
        <f t="shared" si="1"/>
        <v>105140</v>
      </c>
      <c r="J22" s="232">
        <f t="shared" si="2"/>
        <v>1051400</v>
      </c>
      <c r="K22" s="234"/>
    </row>
    <row r="23" spans="1:11" ht="12.75" thickBot="1" x14ac:dyDescent="0.25">
      <c r="A23" s="225">
        <v>5</v>
      </c>
      <c r="B23" s="226">
        <v>0.04</v>
      </c>
      <c r="C23" s="226">
        <f t="shared" si="3"/>
        <v>0.16500000000000001</v>
      </c>
      <c r="D23" s="227">
        <f t="shared" si="5"/>
        <v>1201600</v>
      </c>
      <c r="E23" s="228">
        <f t="shared" si="4"/>
        <v>12466600</v>
      </c>
      <c r="F23" s="229">
        <f t="shared" si="6"/>
        <v>0.33200000000000002</v>
      </c>
      <c r="G23" s="230" t="s">
        <v>128</v>
      </c>
      <c r="H23" s="231">
        <f t="shared" si="0"/>
        <v>120160</v>
      </c>
      <c r="I23" s="232">
        <f t="shared" si="1"/>
        <v>120160</v>
      </c>
      <c r="J23" s="232">
        <f t="shared" si="2"/>
        <v>1201600</v>
      </c>
      <c r="K23" s="234"/>
    </row>
    <row r="24" spans="1:11" x14ac:dyDescent="0.2">
      <c r="A24" s="225">
        <v>6</v>
      </c>
      <c r="B24" s="226">
        <v>4.4999999999999998E-2</v>
      </c>
      <c r="C24" s="226">
        <f t="shared" si="3"/>
        <v>0.21000000000000002</v>
      </c>
      <c r="D24" s="227">
        <f t="shared" si="5"/>
        <v>1351800</v>
      </c>
      <c r="E24" s="228">
        <f t="shared" si="4"/>
        <v>13818400</v>
      </c>
      <c r="F24" s="221">
        <f t="shared" si="6"/>
        <v>0.36799999999999999</v>
      </c>
      <c r="G24" s="230" t="s">
        <v>129</v>
      </c>
      <c r="H24" s="231">
        <f t="shared" si="0"/>
        <v>135180</v>
      </c>
      <c r="I24" s="232">
        <f t="shared" si="1"/>
        <v>135180</v>
      </c>
      <c r="J24" s="232">
        <f t="shared" si="2"/>
        <v>1351800</v>
      </c>
      <c r="K24" s="234"/>
    </row>
    <row r="25" spans="1:11" ht="12.75" thickBot="1" x14ac:dyDescent="0.25">
      <c r="A25" s="225">
        <v>7</v>
      </c>
      <c r="B25" s="226">
        <v>4.4999999999999998E-2</v>
      </c>
      <c r="C25" s="226">
        <f t="shared" si="3"/>
        <v>0.255</v>
      </c>
      <c r="D25" s="227">
        <f t="shared" si="5"/>
        <v>1351800</v>
      </c>
      <c r="E25" s="228">
        <f t="shared" si="4"/>
        <v>15170200</v>
      </c>
      <c r="F25" s="229">
        <f t="shared" si="6"/>
        <v>0.40400000000000003</v>
      </c>
      <c r="G25" s="230" t="s">
        <v>130</v>
      </c>
      <c r="H25" s="231">
        <f t="shared" si="0"/>
        <v>135180</v>
      </c>
      <c r="I25" s="232">
        <f t="shared" si="1"/>
        <v>135180</v>
      </c>
      <c r="J25" s="232">
        <f t="shared" si="2"/>
        <v>1351800</v>
      </c>
      <c r="K25" s="235"/>
    </row>
    <row r="26" spans="1:11" x14ac:dyDescent="0.2">
      <c r="A26" s="225">
        <v>8</v>
      </c>
      <c r="B26" s="226">
        <v>0.05</v>
      </c>
      <c r="C26" s="226">
        <f t="shared" si="3"/>
        <v>0.30499999999999999</v>
      </c>
      <c r="D26" s="227">
        <f t="shared" si="5"/>
        <v>1502000</v>
      </c>
      <c r="E26" s="228">
        <f t="shared" si="4"/>
        <v>16672200</v>
      </c>
      <c r="F26" s="221">
        <f t="shared" si="6"/>
        <v>0.44400000000000001</v>
      </c>
      <c r="G26" s="230" t="s">
        <v>131</v>
      </c>
      <c r="H26" s="231">
        <f t="shared" si="0"/>
        <v>150200</v>
      </c>
      <c r="I26" s="232">
        <f t="shared" si="1"/>
        <v>150200</v>
      </c>
      <c r="J26" s="232">
        <f t="shared" si="2"/>
        <v>1502000</v>
      </c>
      <c r="K26" s="234"/>
    </row>
    <row r="27" spans="1:11" ht="12.75" thickBot="1" x14ac:dyDescent="0.25">
      <c r="A27" s="225">
        <v>9</v>
      </c>
      <c r="B27" s="226">
        <v>5.5E-2</v>
      </c>
      <c r="C27" s="226">
        <f t="shared" si="3"/>
        <v>0.36</v>
      </c>
      <c r="D27" s="227">
        <f t="shared" si="5"/>
        <v>1652200</v>
      </c>
      <c r="E27" s="228">
        <f t="shared" si="4"/>
        <v>18324400</v>
      </c>
      <c r="F27" s="229">
        <f t="shared" si="6"/>
        <v>0.48799999999999999</v>
      </c>
      <c r="G27" s="230" t="s">
        <v>132</v>
      </c>
      <c r="H27" s="231">
        <f t="shared" si="0"/>
        <v>165220</v>
      </c>
      <c r="I27" s="232">
        <f t="shared" si="1"/>
        <v>165220</v>
      </c>
      <c r="J27" s="232">
        <f t="shared" si="2"/>
        <v>1652200</v>
      </c>
      <c r="K27" s="234"/>
    </row>
    <row r="28" spans="1:11" x14ac:dyDescent="0.2">
      <c r="A28" s="225">
        <v>10</v>
      </c>
      <c r="B28" s="226">
        <v>5.5E-2</v>
      </c>
      <c r="C28" s="226">
        <f t="shared" si="3"/>
        <v>0.41499999999999998</v>
      </c>
      <c r="D28" s="227">
        <f t="shared" si="5"/>
        <v>1652200</v>
      </c>
      <c r="E28" s="228">
        <f t="shared" si="4"/>
        <v>19976600</v>
      </c>
      <c r="F28" s="221">
        <f t="shared" si="6"/>
        <v>0.53200000000000003</v>
      </c>
      <c r="G28" s="230" t="s">
        <v>133</v>
      </c>
      <c r="H28" s="231">
        <f t="shared" si="0"/>
        <v>165220</v>
      </c>
      <c r="I28" s="232">
        <f t="shared" si="1"/>
        <v>165220</v>
      </c>
      <c r="J28" s="232">
        <f t="shared" si="2"/>
        <v>1652200</v>
      </c>
      <c r="K28" s="234"/>
    </row>
    <row r="29" spans="1:11" ht="12.75" thickBot="1" x14ac:dyDescent="0.25">
      <c r="A29" s="225">
        <v>11</v>
      </c>
      <c r="B29" s="226">
        <v>5.5E-2</v>
      </c>
      <c r="C29" s="226">
        <f t="shared" si="3"/>
        <v>0.47</v>
      </c>
      <c r="D29" s="227">
        <f t="shared" si="5"/>
        <v>1652200</v>
      </c>
      <c r="E29" s="228">
        <f t="shared" si="4"/>
        <v>21628800</v>
      </c>
      <c r="F29" s="229">
        <f t="shared" si="6"/>
        <v>0.57599999999999996</v>
      </c>
      <c r="G29" s="230" t="s">
        <v>134</v>
      </c>
      <c r="H29" s="231">
        <f t="shared" si="0"/>
        <v>165220</v>
      </c>
      <c r="I29" s="232">
        <f t="shared" si="1"/>
        <v>165220</v>
      </c>
      <c r="J29" s="232">
        <f t="shared" si="2"/>
        <v>1652200</v>
      </c>
      <c r="K29" s="234"/>
    </row>
    <row r="30" spans="1:11" x14ac:dyDescent="0.2">
      <c r="A30" s="225">
        <v>12</v>
      </c>
      <c r="B30" s="226">
        <v>0.06</v>
      </c>
      <c r="C30" s="226">
        <f t="shared" si="3"/>
        <v>0.53</v>
      </c>
      <c r="D30" s="227">
        <f t="shared" si="5"/>
        <v>1802400</v>
      </c>
      <c r="E30" s="228">
        <f t="shared" si="4"/>
        <v>23431200</v>
      </c>
      <c r="F30" s="221">
        <f t="shared" si="6"/>
        <v>0.624</v>
      </c>
      <c r="G30" s="230" t="s">
        <v>135</v>
      </c>
      <c r="H30" s="231">
        <f t="shared" si="0"/>
        <v>180240</v>
      </c>
      <c r="I30" s="232">
        <f t="shared" si="1"/>
        <v>180240</v>
      </c>
      <c r="J30" s="232">
        <f t="shared" si="2"/>
        <v>1802400</v>
      </c>
      <c r="K30" s="234"/>
    </row>
    <row r="31" spans="1:11" ht="12.75" thickBot="1" x14ac:dyDescent="0.25">
      <c r="A31" s="225">
        <v>13</v>
      </c>
      <c r="B31" s="226">
        <v>7.0000000000000007E-2</v>
      </c>
      <c r="C31" s="226">
        <f t="shared" si="3"/>
        <v>0.60000000000000009</v>
      </c>
      <c r="D31" s="227">
        <f t="shared" si="5"/>
        <v>2102800</v>
      </c>
      <c r="E31" s="228">
        <f t="shared" si="4"/>
        <v>25534000</v>
      </c>
      <c r="F31" s="229">
        <f t="shared" si="6"/>
        <v>0.68</v>
      </c>
      <c r="G31" s="230" t="s">
        <v>136</v>
      </c>
      <c r="H31" s="231">
        <f t="shared" si="0"/>
        <v>210280</v>
      </c>
      <c r="I31" s="232">
        <f t="shared" si="1"/>
        <v>210280</v>
      </c>
      <c r="J31" s="232">
        <f t="shared" si="2"/>
        <v>2102800</v>
      </c>
      <c r="K31" s="234"/>
    </row>
    <row r="32" spans="1:11" x14ac:dyDescent="0.2">
      <c r="A32" s="225">
        <v>14</v>
      </c>
      <c r="B32" s="226">
        <v>7.0000000000000007E-2</v>
      </c>
      <c r="C32" s="226">
        <f t="shared" si="3"/>
        <v>0.67000000000000015</v>
      </c>
      <c r="D32" s="227">
        <f t="shared" si="5"/>
        <v>2102800</v>
      </c>
      <c r="E32" s="228">
        <f t="shared" si="4"/>
        <v>27636800</v>
      </c>
      <c r="F32" s="221">
        <f t="shared" si="6"/>
        <v>0.73599999999999999</v>
      </c>
      <c r="G32" s="230" t="s">
        <v>137</v>
      </c>
      <c r="H32" s="231">
        <f t="shared" si="0"/>
        <v>210280</v>
      </c>
      <c r="I32" s="232">
        <f t="shared" si="1"/>
        <v>210280</v>
      </c>
      <c r="J32" s="232">
        <f t="shared" si="2"/>
        <v>2102800</v>
      </c>
      <c r="K32" s="236">
        <f>+SUM(J21:J32)</f>
        <v>18474600</v>
      </c>
    </row>
    <row r="33" spans="1:11" ht="12.75" thickBot="1" x14ac:dyDescent="0.25">
      <c r="A33" s="225">
        <v>15</v>
      </c>
      <c r="B33" s="226">
        <v>6.5000000000000002E-2</v>
      </c>
      <c r="C33" s="226">
        <f t="shared" si="3"/>
        <v>0.7350000000000001</v>
      </c>
      <c r="D33" s="227">
        <f t="shared" si="5"/>
        <v>1952600</v>
      </c>
      <c r="E33" s="228">
        <f t="shared" si="4"/>
        <v>29589400</v>
      </c>
      <c r="F33" s="229">
        <f t="shared" si="6"/>
        <v>0.78800000000000003</v>
      </c>
      <c r="G33" s="230" t="s">
        <v>138</v>
      </c>
      <c r="H33" s="231">
        <f t="shared" si="0"/>
        <v>195260</v>
      </c>
      <c r="I33" s="232">
        <f t="shared" si="1"/>
        <v>195260</v>
      </c>
      <c r="J33" s="232">
        <f t="shared" si="2"/>
        <v>1952600</v>
      </c>
      <c r="K33" s="234"/>
    </row>
    <row r="34" spans="1:11" x14ac:dyDescent="0.2">
      <c r="A34" s="225">
        <v>16</v>
      </c>
      <c r="B34" s="226">
        <v>6.5000000000000002E-2</v>
      </c>
      <c r="C34" s="226">
        <f t="shared" si="3"/>
        <v>0.8</v>
      </c>
      <c r="D34" s="227">
        <f t="shared" si="5"/>
        <v>1952600</v>
      </c>
      <c r="E34" s="228">
        <f>E33+D34</f>
        <v>31542000</v>
      </c>
      <c r="F34" s="221">
        <f t="shared" si="6"/>
        <v>0.84</v>
      </c>
      <c r="G34" s="230" t="s">
        <v>139</v>
      </c>
      <c r="H34" s="231">
        <f>ROUND(D34*0.1,0)</f>
        <v>195260</v>
      </c>
      <c r="I34" s="232">
        <f t="shared" si="1"/>
        <v>195260</v>
      </c>
      <c r="J34" s="232">
        <f>ROUNDUP(D34*$D$12/100,-(LEN(D34)-$I$15))</f>
        <v>1952600</v>
      </c>
      <c r="K34" s="234"/>
    </row>
    <row r="35" spans="1:11" ht="12.75" thickBot="1" x14ac:dyDescent="0.25">
      <c r="A35" s="225">
        <v>17</v>
      </c>
      <c r="B35" s="226">
        <v>0.05</v>
      </c>
      <c r="C35" s="226">
        <f t="shared" si="3"/>
        <v>0.85000000000000009</v>
      </c>
      <c r="D35" s="227">
        <f t="shared" si="5"/>
        <v>1502000</v>
      </c>
      <c r="E35" s="228">
        <f>E34+D35</f>
        <v>33044000</v>
      </c>
      <c r="F35" s="229">
        <f t="shared" si="6"/>
        <v>0.88</v>
      </c>
      <c r="G35" s="230" t="s">
        <v>140</v>
      </c>
      <c r="H35" s="231">
        <f>ROUND(D35*0.1,0)</f>
        <v>150200</v>
      </c>
      <c r="I35" s="232">
        <f t="shared" si="1"/>
        <v>150200</v>
      </c>
      <c r="J35" s="232">
        <f>ROUNDUP(D35*$D$12/100,-(LEN(D35)-$I$15))</f>
        <v>1502000</v>
      </c>
      <c r="K35" s="234"/>
    </row>
    <row r="36" spans="1:11" ht="12.75" thickBot="1" x14ac:dyDescent="0.25">
      <c r="A36" s="237">
        <v>18</v>
      </c>
      <c r="B36" s="226">
        <v>0.05</v>
      </c>
      <c r="C36" s="226">
        <f t="shared" si="3"/>
        <v>0.90000000000000013</v>
      </c>
      <c r="D36" s="227">
        <f t="shared" si="5"/>
        <v>1502000</v>
      </c>
      <c r="E36" s="240">
        <f>E35+D36</f>
        <v>34546000</v>
      </c>
      <c r="F36" s="221">
        <f t="shared" si="6"/>
        <v>0.92</v>
      </c>
      <c r="G36" s="242" t="s">
        <v>141</v>
      </c>
      <c r="H36" s="243">
        <f>ROUND(D36*0.1,0)</f>
        <v>150200</v>
      </c>
      <c r="I36" s="232">
        <f t="shared" si="1"/>
        <v>150200</v>
      </c>
      <c r="J36" s="244">
        <f>ROUNDUP(D36*$D$12/100,-(LEN(D36)-$I$15))</f>
        <v>1502000</v>
      </c>
      <c r="K36" s="236">
        <f>+SUM(J33:J36)</f>
        <v>6909200</v>
      </c>
    </row>
    <row r="37" spans="1:11" ht="12.75" thickBot="1" x14ac:dyDescent="0.25">
      <c r="A37" s="225">
        <v>19</v>
      </c>
      <c r="B37" s="226">
        <v>0.04</v>
      </c>
      <c r="C37" s="226">
        <f t="shared" si="3"/>
        <v>0.94000000000000017</v>
      </c>
      <c r="D37" s="227">
        <f t="shared" si="5"/>
        <v>1201600</v>
      </c>
      <c r="E37" s="228">
        <f t="shared" ref="E37:E42" si="7">E36+D37</f>
        <v>35747600</v>
      </c>
      <c r="F37" s="229">
        <f t="shared" si="6"/>
        <v>0.95199999999999996</v>
      </c>
      <c r="G37" s="230" t="s">
        <v>142</v>
      </c>
      <c r="H37" s="231">
        <f t="shared" ref="H37:H42" si="8">ROUND(D37*0.1,0)</f>
        <v>120160</v>
      </c>
      <c r="I37" s="232">
        <f t="shared" si="1"/>
        <v>120160</v>
      </c>
      <c r="J37" s="244">
        <f t="shared" ref="J37:J42" si="9">ROUNDUP(D37*$D$12/100,-(LEN(D37)-$I$15))</f>
        <v>1201600</v>
      </c>
      <c r="K37" s="236"/>
    </row>
    <row r="38" spans="1:11" ht="12.75" thickBot="1" x14ac:dyDescent="0.25">
      <c r="A38" s="237">
        <v>20</v>
      </c>
      <c r="B38" s="226">
        <v>0.02</v>
      </c>
      <c r="C38" s="226">
        <f t="shared" si="3"/>
        <v>0.96000000000000019</v>
      </c>
      <c r="D38" s="227">
        <f t="shared" si="5"/>
        <v>600800</v>
      </c>
      <c r="E38" s="240">
        <f t="shared" si="7"/>
        <v>36348400</v>
      </c>
      <c r="F38" s="221">
        <f t="shared" si="6"/>
        <v>0.96799999999999997</v>
      </c>
      <c r="G38" s="242" t="s">
        <v>143</v>
      </c>
      <c r="H38" s="243">
        <f t="shared" si="8"/>
        <v>60080</v>
      </c>
      <c r="I38" s="232">
        <f t="shared" si="1"/>
        <v>60080</v>
      </c>
      <c r="J38" s="244">
        <f t="shared" si="9"/>
        <v>600800</v>
      </c>
      <c r="K38" s="236"/>
    </row>
    <row r="39" spans="1:11" ht="12.75" thickBot="1" x14ac:dyDescent="0.25">
      <c r="A39" s="225">
        <v>21</v>
      </c>
      <c r="B39" s="256">
        <v>0.01</v>
      </c>
      <c r="C39" s="226">
        <f t="shared" si="3"/>
        <v>0.9700000000000002</v>
      </c>
      <c r="D39" s="227">
        <f t="shared" si="5"/>
        <v>300400</v>
      </c>
      <c r="E39" s="228">
        <f t="shared" si="7"/>
        <v>36648800</v>
      </c>
      <c r="F39" s="229">
        <f t="shared" si="6"/>
        <v>0.97599999999999998</v>
      </c>
      <c r="G39" s="230" t="s">
        <v>144</v>
      </c>
      <c r="H39" s="231">
        <f t="shared" si="8"/>
        <v>30040</v>
      </c>
      <c r="I39" s="244">
        <f>ROUNDUP((D39+H39-J39),-(LEN(D39)-$I$15))</f>
        <v>30040</v>
      </c>
      <c r="J39" s="244">
        <f t="shared" si="9"/>
        <v>300400</v>
      </c>
      <c r="K39" s="236"/>
    </row>
    <row r="40" spans="1:11" ht="12.75" thickBot="1" x14ac:dyDescent="0.25">
      <c r="A40" s="237">
        <v>22</v>
      </c>
      <c r="B40" s="226">
        <v>0.01</v>
      </c>
      <c r="C40" s="226">
        <f t="shared" si="3"/>
        <v>0.9800000000000002</v>
      </c>
      <c r="D40" s="227">
        <f t="shared" si="5"/>
        <v>300400</v>
      </c>
      <c r="E40" s="240">
        <f t="shared" si="7"/>
        <v>36949200</v>
      </c>
      <c r="F40" s="221">
        <f t="shared" si="6"/>
        <v>0.98399999999999999</v>
      </c>
      <c r="G40" s="242" t="s">
        <v>145</v>
      </c>
      <c r="H40" s="243">
        <f t="shared" si="8"/>
        <v>30040</v>
      </c>
      <c r="I40" s="232">
        <f t="shared" si="1"/>
        <v>30040</v>
      </c>
      <c r="J40" s="244">
        <f t="shared" si="9"/>
        <v>300400</v>
      </c>
      <c r="K40" s="236"/>
    </row>
    <row r="41" spans="1:11" ht="12.75" thickBot="1" x14ac:dyDescent="0.25">
      <c r="A41" s="225">
        <v>23</v>
      </c>
      <c r="B41" s="226">
        <v>0.01</v>
      </c>
      <c r="C41" s="226">
        <f t="shared" si="3"/>
        <v>0.99000000000000021</v>
      </c>
      <c r="D41" s="227">
        <f t="shared" ref="D41" si="10">ROUND(B41*$D$11*(100-$D$14)/100,0)</f>
        <v>300400</v>
      </c>
      <c r="E41" s="228">
        <f t="shared" si="7"/>
        <v>37249600</v>
      </c>
      <c r="F41" s="229">
        <f t="shared" si="6"/>
        <v>0.99199999999999999</v>
      </c>
      <c r="G41" s="230" t="s">
        <v>146</v>
      </c>
      <c r="H41" s="231">
        <f t="shared" si="8"/>
        <v>30040</v>
      </c>
      <c r="I41" s="232">
        <f t="shared" si="1"/>
        <v>30040</v>
      </c>
      <c r="J41" s="244">
        <f t="shared" si="9"/>
        <v>300400</v>
      </c>
      <c r="K41" s="236"/>
    </row>
    <row r="42" spans="1:11" ht="12.75" thickBot="1" x14ac:dyDescent="0.25">
      <c r="A42" s="237">
        <v>24</v>
      </c>
      <c r="B42" s="238">
        <v>0.01</v>
      </c>
      <c r="C42" s="226">
        <f t="shared" si="3"/>
        <v>1.0000000000000002</v>
      </c>
      <c r="D42" s="227">
        <f t="shared" si="5"/>
        <v>300400</v>
      </c>
      <c r="E42" s="240">
        <f t="shared" si="7"/>
        <v>37550000</v>
      </c>
      <c r="F42" s="221">
        <f t="shared" si="6"/>
        <v>1</v>
      </c>
      <c r="G42" s="242" t="s">
        <v>147</v>
      </c>
      <c r="H42" s="243">
        <f t="shared" si="8"/>
        <v>30040</v>
      </c>
      <c r="I42" s="244">
        <f t="shared" si="1"/>
        <v>30040</v>
      </c>
      <c r="J42" s="244">
        <f t="shared" si="9"/>
        <v>300400</v>
      </c>
      <c r="K42" s="236"/>
    </row>
    <row r="43" spans="1:11" ht="20.25" customHeight="1" thickBot="1" x14ac:dyDescent="0.25">
      <c r="A43" s="245" t="str">
        <f>A42*30 &amp; " dias"</f>
        <v>720 dias</v>
      </c>
      <c r="B43" s="246">
        <f>SUM(B19:B42)</f>
        <v>1.0000000000000002</v>
      </c>
      <c r="C43" s="247"/>
      <c r="D43" s="248">
        <f>SUM(D18:D42)</f>
        <v>37550000</v>
      </c>
      <c r="E43" s="185"/>
      <c r="H43" s="185"/>
      <c r="I43" s="249">
        <f>SUM(I18:I36)</f>
        <v>3454600</v>
      </c>
      <c r="J43" s="249">
        <f>SUM(J18:J42)</f>
        <v>37550000</v>
      </c>
      <c r="K43" s="234"/>
    </row>
    <row r="44" spans="1:11" ht="15" customHeight="1" x14ac:dyDescent="0.2">
      <c r="A44" s="190"/>
      <c r="F44" s="193"/>
      <c r="G44" s="193"/>
      <c r="H44" s="196" t="s">
        <v>235</v>
      </c>
      <c r="I44" s="543">
        <f>I43+J43</f>
        <v>41004600</v>
      </c>
      <c r="J44" s="544"/>
    </row>
    <row r="45" spans="1:11" x14ac:dyDescent="0.2">
      <c r="A45" s="189" t="s">
        <v>236</v>
      </c>
      <c r="B45" s="189"/>
      <c r="C45" s="189"/>
      <c r="H45" s="196" t="s">
        <v>237</v>
      </c>
      <c r="I45" s="207">
        <f>I44/1.1-D11</f>
        <v>-273090.90909091383</v>
      </c>
    </row>
    <row r="46" spans="1:11" x14ac:dyDescent="0.2">
      <c r="B46" s="250"/>
    </row>
    <row r="47" spans="1:11" x14ac:dyDescent="0.2">
      <c r="B47" s="250"/>
    </row>
    <row r="49" spans="1:27" s="253" customFormat="1" ht="12.75" customHeight="1" x14ac:dyDescent="0.2">
      <c r="A49" s="251"/>
      <c r="B49" s="252" t="s">
        <v>238</v>
      </c>
      <c r="C49" s="252" t="s">
        <v>124</v>
      </c>
      <c r="D49" s="252" t="s">
        <v>125</v>
      </c>
      <c r="E49" s="252" t="s">
        <v>126</v>
      </c>
      <c r="F49" s="252" t="s">
        <v>127</v>
      </c>
      <c r="G49" s="252" t="s">
        <v>128</v>
      </c>
      <c r="H49" s="252" t="s">
        <v>129</v>
      </c>
      <c r="I49" s="252" t="s">
        <v>130</v>
      </c>
      <c r="J49" s="252" t="s">
        <v>131</v>
      </c>
      <c r="K49" s="252" t="s">
        <v>132</v>
      </c>
      <c r="L49" s="252" t="s">
        <v>133</v>
      </c>
      <c r="M49" s="252" t="s">
        <v>134</v>
      </c>
      <c r="N49" s="252" t="s">
        <v>135</v>
      </c>
      <c r="O49" s="252" t="s">
        <v>136</v>
      </c>
      <c r="P49" s="252" t="s">
        <v>137</v>
      </c>
      <c r="Q49" s="252" t="s">
        <v>138</v>
      </c>
      <c r="R49" s="252" t="s">
        <v>139</v>
      </c>
      <c r="S49" s="252" t="s">
        <v>140</v>
      </c>
      <c r="T49" s="252" t="s">
        <v>141</v>
      </c>
      <c r="U49" s="252" t="s">
        <v>142</v>
      </c>
      <c r="V49" s="252" t="s">
        <v>143</v>
      </c>
      <c r="W49" s="252" t="s">
        <v>144</v>
      </c>
      <c r="X49" s="252" t="s">
        <v>145</v>
      </c>
      <c r="Y49" s="252" t="s">
        <v>146</v>
      </c>
      <c r="Z49" s="252" t="s">
        <v>147</v>
      </c>
    </row>
    <row r="50" spans="1:27" x14ac:dyDescent="0.2">
      <c r="A50" s="254" t="s">
        <v>239</v>
      </c>
      <c r="B50" s="227">
        <v>0</v>
      </c>
      <c r="C50" s="227">
        <v>0</v>
      </c>
      <c r="D50" s="227">
        <v>0</v>
      </c>
      <c r="E50" s="227">
        <v>0</v>
      </c>
      <c r="F50" s="227">
        <v>0</v>
      </c>
      <c r="G50" s="227">
        <v>0</v>
      </c>
      <c r="H50" s="227">
        <v>0</v>
      </c>
      <c r="I50" s="227">
        <v>0</v>
      </c>
      <c r="J50" s="227">
        <v>0</v>
      </c>
      <c r="K50" s="227">
        <v>0</v>
      </c>
      <c r="L50" s="227">
        <v>0</v>
      </c>
      <c r="M50" s="227">
        <v>0</v>
      </c>
      <c r="N50" s="227">
        <v>0</v>
      </c>
      <c r="O50" s="227">
        <v>0</v>
      </c>
      <c r="P50" s="227">
        <v>0</v>
      </c>
      <c r="Q50" s="227">
        <v>0</v>
      </c>
      <c r="R50" s="227">
        <v>0</v>
      </c>
      <c r="S50" s="227">
        <v>0</v>
      </c>
      <c r="T50" s="227">
        <v>0</v>
      </c>
      <c r="U50" s="193">
        <f>SUM(B50:T50)</f>
        <v>0</v>
      </c>
      <c r="V50" s="193">
        <f t="shared" ref="V50:AA50" si="11">SUM(C50:U50)</f>
        <v>0</v>
      </c>
      <c r="W50" s="193">
        <f t="shared" si="11"/>
        <v>0</v>
      </c>
      <c r="X50" s="193">
        <f t="shared" si="11"/>
        <v>0</v>
      </c>
      <c r="Y50" s="193">
        <f t="shared" si="11"/>
        <v>0</v>
      </c>
      <c r="Z50" s="193">
        <f t="shared" si="11"/>
        <v>0</v>
      </c>
      <c r="AA50" s="193">
        <f t="shared" si="11"/>
        <v>0</v>
      </c>
    </row>
    <row r="51" spans="1:27" x14ac:dyDescent="0.2">
      <c r="A51" s="254" t="s">
        <v>240</v>
      </c>
      <c r="B51" s="227">
        <f>$J18</f>
        <v>7510000</v>
      </c>
      <c r="C51" s="227">
        <f>$J19</f>
        <v>751000</v>
      </c>
      <c r="D51" s="227">
        <f>$J20</f>
        <v>901200</v>
      </c>
      <c r="E51" s="227">
        <f>$J21</f>
        <v>1051400</v>
      </c>
      <c r="F51" s="227">
        <f>$J22</f>
        <v>1051400</v>
      </c>
      <c r="G51" s="227">
        <f>$J23</f>
        <v>1201600</v>
      </c>
      <c r="H51" s="227">
        <f>$J24</f>
        <v>1351800</v>
      </c>
      <c r="I51" s="227">
        <f>$J25</f>
        <v>1351800</v>
      </c>
      <c r="J51" s="227">
        <f>$J26</f>
        <v>1502000</v>
      </c>
      <c r="K51" s="227">
        <f>$J27</f>
        <v>1652200</v>
      </c>
      <c r="L51" s="227">
        <f>$J28</f>
        <v>1652200</v>
      </c>
      <c r="M51" s="227">
        <f>$J29</f>
        <v>1652200</v>
      </c>
      <c r="N51" s="227">
        <f>$J30</f>
        <v>1802400</v>
      </c>
      <c r="O51" s="227">
        <f>$J31</f>
        <v>2102800</v>
      </c>
      <c r="P51" s="227">
        <f>$J32</f>
        <v>2102800</v>
      </c>
      <c r="Q51" s="227">
        <f>$J33</f>
        <v>1952600</v>
      </c>
      <c r="R51" s="227">
        <f>$J34</f>
        <v>1952600</v>
      </c>
      <c r="S51" s="227">
        <f>$J35</f>
        <v>1502000</v>
      </c>
      <c r="T51" s="227">
        <f>$J36</f>
        <v>1502000</v>
      </c>
      <c r="U51" s="227">
        <f>$J37</f>
        <v>1201600</v>
      </c>
      <c r="V51" s="227">
        <f>$J38</f>
        <v>600800</v>
      </c>
      <c r="W51" s="227">
        <f>$J39</f>
        <v>300400</v>
      </c>
      <c r="X51" s="227">
        <f>$J40</f>
        <v>300400</v>
      </c>
      <c r="Y51" s="227">
        <f>$J41</f>
        <v>300400</v>
      </c>
      <c r="Z51" s="227">
        <f>$J42</f>
        <v>300400</v>
      </c>
      <c r="AA51" s="193">
        <f>SUM(B51:Z51)</f>
        <v>37550000</v>
      </c>
    </row>
    <row r="52" spans="1:27" x14ac:dyDescent="0.2">
      <c r="B52" s="227">
        <f>B50+B51</f>
        <v>7510000</v>
      </c>
      <c r="C52" s="227">
        <f t="shared" ref="C52:Z52" si="12">C50+C51</f>
        <v>751000</v>
      </c>
      <c r="D52" s="227">
        <f t="shared" si="12"/>
        <v>901200</v>
      </c>
      <c r="E52" s="227">
        <f t="shared" si="12"/>
        <v>1051400</v>
      </c>
      <c r="F52" s="227">
        <f t="shared" si="12"/>
        <v>1051400</v>
      </c>
      <c r="G52" s="227">
        <f t="shared" si="12"/>
        <v>1201600</v>
      </c>
      <c r="H52" s="227">
        <f t="shared" si="12"/>
        <v>1351800</v>
      </c>
      <c r="I52" s="227">
        <f t="shared" si="12"/>
        <v>1351800</v>
      </c>
      <c r="J52" s="227">
        <f t="shared" si="12"/>
        <v>1502000</v>
      </c>
      <c r="K52" s="227">
        <f t="shared" si="12"/>
        <v>1652200</v>
      </c>
      <c r="L52" s="227">
        <f t="shared" si="12"/>
        <v>1652200</v>
      </c>
      <c r="M52" s="227">
        <f t="shared" si="12"/>
        <v>1652200</v>
      </c>
      <c r="N52" s="227">
        <f t="shared" si="12"/>
        <v>1802400</v>
      </c>
      <c r="O52" s="227">
        <f t="shared" si="12"/>
        <v>2102800</v>
      </c>
      <c r="P52" s="227">
        <f t="shared" si="12"/>
        <v>2102800</v>
      </c>
      <c r="Q52" s="227">
        <f t="shared" si="12"/>
        <v>1952600</v>
      </c>
      <c r="R52" s="227">
        <f t="shared" si="12"/>
        <v>1952600</v>
      </c>
      <c r="S52" s="227">
        <f t="shared" si="12"/>
        <v>1502000</v>
      </c>
      <c r="T52" s="227">
        <f t="shared" si="12"/>
        <v>1502000</v>
      </c>
      <c r="U52" s="227">
        <f t="shared" si="12"/>
        <v>1201600</v>
      </c>
      <c r="V52" s="227">
        <f t="shared" si="12"/>
        <v>600800</v>
      </c>
      <c r="W52" s="227">
        <f t="shared" si="12"/>
        <v>300400</v>
      </c>
      <c r="X52" s="227">
        <f t="shared" si="12"/>
        <v>300400</v>
      </c>
      <c r="Y52" s="227">
        <f t="shared" si="12"/>
        <v>300400</v>
      </c>
      <c r="Z52" s="227">
        <f t="shared" si="12"/>
        <v>300400</v>
      </c>
      <c r="AA52" s="227">
        <f>U50+AA51</f>
        <v>37550000</v>
      </c>
    </row>
    <row r="53" spans="1:27" x14ac:dyDescent="0.2">
      <c r="B53" s="255">
        <f>SUM(B52:Z52)</f>
        <v>37550000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zoomScale="70" zoomScaleNormal="70" workbookViewId="0">
      <selection activeCell="D8" sqref="D8"/>
    </sheetView>
  </sheetViews>
  <sheetFormatPr defaultColWidth="9.140625" defaultRowHeight="12" x14ac:dyDescent="0.2"/>
  <cols>
    <col min="1" max="1" width="8.42578125" style="185" customWidth="1"/>
    <col min="2" max="2" width="14.42578125" style="195" customWidth="1"/>
    <col min="3" max="3" width="15.42578125" style="193" customWidth="1"/>
    <col min="4" max="4" width="16.42578125" style="193" customWidth="1"/>
    <col min="5" max="5" width="16.140625" style="193" customWidth="1"/>
    <col min="6" max="6" width="13.7109375" style="185" customWidth="1"/>
    <col min="7" max="7" width="18.85546875" style="185" customWidth="1"/>
    <col min="8" max="8" width="15.7109375" style="190" customWidth="1"/>
    <col min="9" max="10" width="16.5703125" style="185" customWidth="1"/>
    <col min="11" max="11" width="13.140625" style="185" bestFit="1" customWidth="1"/>
    <col min="12" max="12" width="13.42578125" style="185" customWidth="1"/>
    <col min="13" max="13" width="14.7109375" style="185" customWidth="1"/>
    <col min="14" max="14" width="14.7109375" style="185" bestFit="1" customWidth="1"/>
    <col min="15" max="19" width="14.42578125" style="185" customWidth="1"/>
    <col min="20" max="20" width="14.85546875" style="185" bestFit="1" customWidth="1"/>
    <col min="21" max="21" width="10.85546875" style="185" bestFit="1" customWidth="1"/>
    <col min="22" max="22" width="9.140625" style="185"/>
    <col min="23" max="23" width="10.28515625" style="185" bestFit="1" customWidth="1"/>
    <col min="24" max="26" width="9.140625" style="185"/>
    <col min="27" max="27" width="10" style="185" bestFit="1" customWidth="1"/>
    <col min="28" max="256" width="9.140625" style="185"/>
    <col min="257" max="257" width="8.42578125" style="185" customWidth="1"/>
    <col min="258" max="258" width="14.42578125" style="185" customWidth="1"/>
    <col min="259" max="259" width="15.42578125" style="185" customWidth="1"/>
    <col min="260" max="260" width="16.42578125" style="185" customWidth="1"/>
    <col min="261" max="261" width="16.140625" style="185" customWidth="1"/>
    <col min="262" max="262" width="13.7109375" style="185" customWidth="1"/>
    <col min="263" max="263" width="18.85546875" style="185" customWidth="1"/>
    <col min="264" max="264" width="15.7109375" style="185" customWidth="1"/>
    <col min="265" max="266" width="16.5703125" style="185" customWidth="1"/>
    <col min="267" max="267" width="13.140625" style="185" bestFit="1" customWidth="1"/>
    <col min="268" max="268" width="13.42578125" style="185" customWidth="1"/>
    <col min="269" max="269" width="14.7109375" style="185" customWidth="1"/>
    <col min="270" max="270" width="14.7109375" style="185" bestFit="1" customWidth="1"/>
    <col min="271" max="275" width="14.42578125" style="185" customWidth="1"/>
    <col min="276" max="276" width="14.85546875" style="185" bestFit="1" customWidth="1"/>
    <col min="277" max="277" width="10.85546875" style="185" bestFit="1" customWidth="1"/>
    <col min="278" max="512" width="9.140625" style="185"/>
    <col min="513" max="513" width="8.42578125" style="185" customWidth="1"/>
    <col min="514" max="514" width="14.42578125" style="185" customWidth="1"/>
    <col min="515" max="515" width="15.42578125" style="185" customWidth="1"/>
    <col min="516" max="516" width="16.42578125" style="185" customWidth="1"/>
    <col min="517" max="517" width="16.140625" style="185" customWidth="1"/>
    <col min="518" max="518" width="13.7109375" style="185" customWidth="1"/>
    <col min="519" max="519" width="18.85546875" style="185" customWidth="1"/>
    <col min="520" max="520" width="15.7109375" style="185" customWidth="1"/>
    <col min="521" max="522" width="16.5703125" style="185" customWidth="1"/>
    <col min="523" max="523" width="13.140625" style="185" bestFit="1" customWidth="1"/>
    <col min="524" max="524" width="13.42578125" style="185" customWidth="1"/>
    <col min="525" max="525" width="14.7109375" style="185" customWidth="1"/>
    <col min="526" max="526" width="14.7109375" style="185" bestFit="1" customWidth="1"/>
    <col min="527" max="531" width="14.42578125" style="185" customWidth="1"/>
    <col min="532" max="532" width="14.85546875" style="185" bestFit="1" customWidth="1"/>
    <col min="533" max="533" width="10.85546875" style="185" bestFit="1" customWidth="1"/>
    <col min="534" max="768" width="9.140625" style="185"/>
    <col min="769" max="769" width="8.42578125" style="185" customWidth="1"/>
    <col min="770" max="770" width="14.42578125" style="185" customWidth="1"/>
    <col min="771" max="771" width="15.42578125" style="185" customWidth="1"/>
    <col min="772" max="772" width="16.42578125" style="185" customWidth="1"/>
    <col min="773" max="773" width="16.140625" style="185" customWidth="1"/>
    <col min="774" max="774" width="13.7109375" style="185" customWidth="1"/>
    <col min="775" max="775" width="18.85546875" style="185" customWidth="1"/>
    <col min="776" max="776" width="15.7109375" style="185" customWidth="1"/>
    <col min="777" max="778" width="16.5703125" style="185" customWidth="1"/>
    <col min="779" max="779" width="13.140625" style="185" bestFit="1" customWidth="1"/>
    <col min="780" max="780" width="13.42578125" style="185" customWidth="1"/>
    <col min="781" max="781" width="14.7109375" style="185" customWidth="1"/>
    <col min="782" max="782" width="14.7109375" style="185" bestFit="1" customWidth="1"/>
    <col min="783" max="787" width="14.42578125" style="185" customWidth="1"/>
    <col min="788" max="788" width="14.85546875" style="185" bestFit="1" customWidth="1"/>
    <col min="789" max="789" width="10.85546875" style="185" bestFit="1" customWidth="1"/>
    <col min="790" max="1024" width="9.140625" style="185"/>
    <col min="1025" max="1025" width="8.42578125" style="185" customWidth="1"/>
    <col min="1026" max="1026" width="14.42578125" style="185" customWidth="1"/>
    <col min="1027" max="1027" width="15.42578125" style="185" customWidth="1"/>
    <col min="1028" max="1028" width="16.42578125" style="185" customWidth="1"/>
    <col min="1029" max="1029" width="16.140625" style="185" customWidth="1"/>
    <col min="1030" max="1030" width="13.7109375" style="185" customWidth="1"/>
    <col min="1031" max="1031" width="18.85546875" style="185" customWidth="1"/>
    <col min="1032" max="1032" width="15.7109375" style="185" customWidth="1"/>
    <col min="1033" max="1034" width="16.5703125" style="185" customWidth="1"/>
    <col min="1035" max="1035" width="13.140625" style="185" bestFit="1" customWidth="1"/>
    <col min="1036" max="1036" width="13.42578125" style="185" customWidth="1"/>
    <col min="1037" max="1037" width="14.7109375" style="185" customWidth="1"/>
    <col min="1038" max="1038" width="14.7109375" style="185" bestFit="1" customWidth="1"/>
    <col min="1039" max="1043" width="14.42578125" style="185" customWidth="1"/>
    <col min="1044" max="1044" width="14.85546875" style="185" bestFit="1" customWidth="1"/>
    <col min="1045" max="1045" width="10.85546875" style="185" bestFit="1" customWidth="1"/>
    <col min="1046" max="1280" width="9.140625" style="185"/>
    <col min="1281" max="1281" width="8.42578125" style="185" customWidth="1"/>
    <col min="1282" max="1282" width="14.42578125" style="185" customWidth="1"/>
    <col min="1283" max="1283" width="15.42578125" style="185" customWidth="1"/>
    <col min="1284" max="1284" width="16.42578125" style="185" customWidth="1"/>
    <col min="1285" max="1285" width="16.140625" style="185" customWidth="1"/>
    <col min="1286" max="1286" width="13.7109375" style="185" customWidth="1"/>
    <col min="1287" max="1287" width="18.85546875" style="185" customWidth="1"/>
    <col min="1288" max="1288" width="15.7109375" style="185" customWidth="1"/>
    <col min="1289" max="1290" width="16.5703125" style="185" customWidth="1"/>
    <col min="1291" max="1291" width="13.140625" style="185" bestFit="1" customWidth="1"/>
    <col min="1292" max="1292" width="13.42578125" style="185" customWidth="1"/>
    <col min="1293" max="1293" width="14.7109375" style="185" customWidth="1"/>
    <col min="1294" max="1294" width="14.7109375" style="185" bestFit="1" customWidth="1"/>
    <col min="1295" max="1299" width="14.42578125" style="185" customWidth="1"/>
    <col min="1300" max="1300" width="14.85546875" style="185" bestFit="1" customWidth="1"/>
    <col min="1301" max="1301" width="10.85546875" style="185" bestFit="1" customWidth="1"/>
    <col min="1302" max="1536" width="9.140625" style="185"/>
    <col min="1537" max="1537" width="8.42578125" style="185" customWidth="1"/>
    <col min="1538" max="1538" width="14.42578125" style="185" customWidth="1"/>
    <col min="1539" max="1539" width="15.42578125" style="185" customWidth="1"/>
    <col min="1540" max="1540" width="16.42578125" style="185" customWidth="1"/>
    <col min="1541" max="1541" width="16.140625" style="185" customWidth="1"/>
    <col min="1542" max="1542" width="13.7109375" style="185" customWidth="1"/>
    <col min="1543" max="1543" width="18.85546875" style="185" customWidth="1"/>
    <col min="1544" max="1544" width="15.7109375" style="185" customWidth="1"/>
    <col min="1545" max="1546" width="16.5703125" style="185" customWidth="1"/>
    <col min="1547" max="1547" width="13.140625" style="185" bestFit="1" customWidth="1"/>
    <col min="1548" max="1548" width="13.42578125" style="185" customWidth="1"/>
    <col min="1549" max="1549" width="14.7109375" style="185" customWidth="1"/>
    <col min="1550" max="1550" width="14.7109375" style="185" bestFit="1" customWidth="1"/>
    <col min="1551" max="1555" width="14.42578125" style="185" customWidth="1"/>
    <col min="1556" max="1556" width="14.85546875" style="185" bestFit="1" customWidth="1"/>
    <col min="1557" max="1557" width="10.85546875" style="185" bestFit="1" customWidth="1"/>
    <col min="1558" max="1792" width="9.140625" style="185"/>
    <col min="1793" max="1793" width="8.42578125" style="185" customWidth="1"/>
    <col min="1794" max="1794" width="14.42578125" style="185" customWidth="1"/>
    <col min="1795" max="1795" width="15.42578125" style="185" customWidth="1"/>
    <col min="1796" max="1796" width="16.42578125" style="185" customWidth="1"/>
    <col min="1797" max="1797" width="16.140625" style="185" customWidth="1"/>
    <col min="1798" max="1798" width="13.7109375" style="185" customWidth="1"/>
    <col min="1799" max="1799" width="18.85546875" style="185" customWidth="1"/>
    <col min="1800" max="1800" width="15.7109375" style="185" customWidth="1"/>
    <col min="1801" max="1802" width="16.5703125" style="185" customWidth="1"/>
    <col min="1803" max="1803" width="13.140625" style="185" bestFit="1" customWidth="1"/>
    <col min="1804" max="1804" width="13.42578125" style="185" customWidth="1"/>
    <col min="1805" max="1805" width="14.7109375" style="185" customWidth="1"/>
    <col min="1806" max="1806" width="14.7109375" style="185" bestFit="1" customWidth="1"/>
    <col min="1807" max="1811" width="14.42578125" style="185" customWidth="1"/>
    <col min="1812" max="1812" width="14.85546875" style="185" bestFit="1" customWidth="1"/>
    <col min="1813" max="1813" width="10.85546875" style="185" bestFit="1" customWidth="1"/>
    <col min="1814" max="2048" width="9.140625" style="185"/>
    <col min="2049" max="2049" width="8.42578125" style="185" customWidth="1"/>
    <col min="2050" max="2050" width="14.42578125" style="185" customWidth="1"/>
    <col min="2051" max="2051" width="15.42578125" style="185" customWidth="1"/>
    <col min="2052" max="2052" width="16.42578125" style="185" customWidth="1"/>
    <col min="2053" max="2053" width="16.140625" style="185" customWidth="1"/>
    <col min="2054" max="2054" width="13.7109375" style="185" customWidth="1"/>
    <col min="2055" max="2055" width="18.85546875" style="185" customWidth="1"/>
    <col min="2056" max="2056" width="15.7109375" style="185" customWidth="1"/>
    <col min="2057" max="2058" width="16.5703125" style="185" customWidth="1"/>
    <col min="2059" max="2059" width="13.140625" style="185" bestFit="1" customWidth="1"/>
    <col min="2060" max="2060" width="13.42578125" style="185" customWidth="1"/>
    <col min="2061" max="2061" width="14.7109375" style="185" customWidth="1"/>
    <col min="2062" max="2062" width="14.7109375" style="185" bestFit="1" customWidth="1"/>
    <col min="2063" max="2067" width="14.42578125" style="185" customWidth="1"/>
    <col min="2068" max="2068" width="14.85546875" style="185" bestFit="1" customWidth="1"/>
    <col min="2069" max="2069" width="10.85546875" style="185" bestFit="1" customWidth="1"/>
    <col min="2070" max="2304" width="9.140625" style="185"/>
    <col min="2305" max="2305" width="8.42578125" style="185" customWidth="1"/>
    <col min="2306" max="2306" width="14.42578125" style="185" customWidth="1"/>
    <col min="2307" max="2307" width="15.42578125" style="185" customWidth="1"/>
    <col min="2308" max="2308" width="16.42578125" style="185" customWidth="1"/>
    <col min="2309" max="2309" width="16.140625" style="185" customWidth="1"/>
    <col min="2310" max="2310" width="13.7109375" style="185" customWidth="1"/>
    <col min="2311" max="2311" width="18.85546875" style="185" customWidth="1"/>
    <col min="2312" max="2312" width="15.7109375" style="185" customWidth="1"/>
    <col min="2313" max="2314" width="16.5703125" style="185" customWidth="1"/>
    <col min="2315" max="2315" width="13.140625" style="185" bestFit="1" customWidth="1"/>
    <col min="2316" max="2316" width="13.42578125" style="185" customWidth="1"/>
    <col min="2317" max="2317" width="14.7109375" style="185" customWidth="1"/>
    <col min="2318" max="2318" width="14.7109375" style="185" bestFit="1" customWidth="1"/>
    <col min="2319" max="2323" width="14.42578125" style="185" customWidth="1"/>
    <col min="2324" max="2324" width="14.85546875" style="185" bestFit="1" customWidth="1"/>
    <col min="2325" max="2325" width="10.85546875" style="185" bestFit="1" customWidth="1"/>
    <col min="2326" max="2560" width="9.140625" style="185"/>
    <col min="2561" max="2561" width="8.42578125" style="185" customWidth="1"/>
    <col min="2562" max="2562" width="14.42578125" style="185" customWidth="1"/>
    <col min="2563" max="2563" width="15.42578125" style="185" customWidth="1"/>
    <col min="2564" max="2564" width="16.42578125" style="185" customWidth="1"/>
    <col min="2565" max="2565" width="16.140625" style="185" customWidth="1"/>
    <col min="2566" max="2566" width="13.7109375" style="185" customWidth="1"/>
    <col min="2567" max="2567" width="18.85546875" style="185" customWidth="1"/>
    <col min="2568" max="2568" width="15.7109375" style="185" customWidth="1"/>
    <col min="2569" max="2570" width="16.5703125" style="185" customWidth="1"/>
    <col min="2571" max="2571" width="13.140625" style="185" bestFit="1" customWidth="1"/>
    <col min="2572" max="2572" width="13.42578125" style="185" customWidth="1"/>
    <col min="2573" max="2573" width="14.7109375" style="185" customWidth="1"/>
    <col min="2574" max="2574" width="14.7109375" style="185" bestFit="1" customWidth="1"/>
    <col min="2575" max="2579" width="14.42578125" style="185" customWidth="1"/>
    <col min="2580" max="2580" width="14.85546875" style="185" bestFit="1" customWidth="1"/>
    <col min="2581" max="2581" width="10.85546875" style="185" bestFit="1" customWidth="1"/>
    <col min="2582" max="2816" width="9.140625" style="185"/>
    <col min="2817" max="2817" width="8.42578125" style="185" customWidth="1"/>
    <col min="2818" max="2818" width="14.42578125" style="185" customWidth="1"/>
    <col min="2819" max="2819" width="15.42578125" style="185" customWidth="1"/>
    <col min="2820" max="2820" width="16.42578125" style="185" customWidth="1"/>
    <col min="2821" max="2821" width="16.140625" style="185" customWidth="1"/>
    <col min="2822" max="2822" width="13.7109375" style="185" customWidth="1"/>
    <col min="2823" max="2823" width="18.85546875" style="185" customWidth="1"/>
    <col min="2824" max="2824" width="15.7109375" style="185" customWidth="1"/>
    <col min="2825" max="2826" width="16.5703125" style="185" customWidth="1"/>
    <col min="2827" max="2827" width="13.140625" style="185" bestFit="1" customWidth="1"/>
    <col min="2828" max="2828" width="13.42578125" style="185" customWidth="1"/>
    <col min="2829" max="2829" width="14.7109375" style="185" customWidth="1"/>
    <col min="2830" max="2830" width="14.7109375" style="185" bestFit="1" customWidth="1"/>
    <col min="2831" max="2835" width="14.42578125" style="185" customWidth="1"/>
    <col min="2836" max="2836" width="14.85546875" style="185" bestFit="1" customWidth="1"/>
    <col min="2837" max="2837" width="10.85546875" style="185" bestFit="1" customWidth="1"/>
    <col min="2838" max="3072" width="9.140625" style="185"/>
    <col min="3073" max="3073" width="8.42578125" style="185" customWidth="1"/>
    <col min="3074" max="3074" width="14.42578125" style="185" customWidth="1"/>
    <col min="3075" max="3075" width="15.42578125" style="185" customWidth="1"/>
    <col min="3076" max="3076" width="16.42578125" style="185" customWidth="1"/>
    <col min="3077" max="3077" width="16.140625" style="185" customWidth="1"/>
    <col min="3078" max="3078" width="13.7109375" style="185" customWidth="1"/>
    <col min="3079" max="3079" width="18.85546875" style="185" customWidth="1"/>
    <col min="3080" max="3080" width="15.7109375" style="185" customWidth="1"/>
    <col min="3081" max="3082" width="16.5703125" style="185" customWidth="1"/>
    <col min="3083" max="3083" width="13.140625" style="185" bestFit="1" customWidth="1"/>
    <col min="3084" max="3084" width="13.42578125" style="185" customWidth="1"/>
    <col min="3085" max="3085" width="14.7109375" style="185" customWidth="1"/>
    <col min="3086" max="3086" width="14.7109375" style="185" bestFit="1" customWidth="1"/>
    <col min="3087" max="3091" width="14.42578125" style="185" customWidth="1"/>
    <col min="3092" max="3092" width="14.85546875" style="185" bestFit="1" customWidth="1"/>
    <col min="3093" max="3093" width="10.85546875" style="185" bestFit="1" customWidth="1"/>
    <col min="3094" max="3328" width="9.140625" style="185"/>
    <col min="3329" max="3329" width="8.42578125" style="185" customWidth="1"/>
    <col min="3330" max="3330" width="14.42578125" style="185" customWidth="1"/>
    <col min="3331" max="3331" width="15.42578125" style="185" customWidth="1"/>
    <col min="3332" max="3332" width="16.42578125" style="185" customWidth="1"/>
    <col min="3333" max="3333" width="16.140625" style="185" customWidth="1"/>
    <col min="3334" max="3334" width="13.7109375" style="185" customWidth="1"/>
    <col min="3335" max="3335" width="18.85546875" style="185" customWidth="1"/>
    <col min="3336" max="3336" width="15.7109375" style="185" customWidth="1"/>
    <col min="3337" max="3338" width="16.5703125" style="185" customWidth="1"/>
    <col min="3339" max="3339" width="13.140625" style="185" bestFit="1" customWidth="1"/>
    <col min="3340" max="3340" width="13.42578125" style="185" customWidth="1"/>
    <col min="3341" max="3341" width="14.7109375" style="185" customWidth="1"/>
    <col min="3342" max="3342" width="14.7109375" style="185" bestFit="1" customWidth="1"/>
    <col min="3343" max="3347" width="14.42578125" style="185" customWidth="1"/>
    <col min="3348" max="3348" width="14.85546875" style="185" bestFit="1" customWidth="1"/>
    <col min="3349" max="3349" width="10.85546875" style="185" bestFit="1" customWidth="1"/>
    <col min="3350" max="3584" width="9.140625" style="185"/>
    <col min="3585" max="3585" width="8.42578125" style="185" customWidth="1"/>
    <col min="3586" max="3586" width="14.42578125" style="185" customWidth="1"/>
    <col min="3587" max="3587" width="15.42578125" style="185" customWidth="1"/>
    <col min="3588" max="3588" width="16.42578125" style="185" customWidth="1"/>
    <col min="3589" max="3589" width="16.140625" style="185" customWidth="1"/>
    <col min="3590" max="3590" width="13.7109375" style="185" customWidth="1"/>
    <col min="3591" max="3591" width="18.85546875" style="185" customWidth="1"/>
    <col min="3592" max="3592" width="15.7109375" style="185" customWidth="1"/>
    <col min="3593" max="3594" width="16.5703125" style="185" customWidth="1"/>
    <col min="3595" max="3595" width="13.140625" style="185" bestFit="1" customWidth="1"/>
    <col min="3596" max="3596" width="13.42578125" style="185" customWidth="1"/>
    <col min="3597" max="3597" width="14.7109375" style="185" customWidth="1"/>
    <col min="3598" max="3598" width="14.7109375" style="185" bestFit="1" customWidth="1"/>
    <col min="3599" max="3603" width="14.42578125" style="185" customWidth="1"/>
    <col min="3604" max="3604" width="14.85546875" style="185" bestFit="1" customWidth="1"/>
    <col min="3605" max="3605" width="10.85546875" style="185" bestFit="1" customWidth="1"/>
    <col min="3606" max="3840" width="9.140625" style="185"/>
    <col min="3841" max="3841" width="8.42578125" style="185" customWidth="1"/>
    <col min="3842" max="3842" width="14.42578125" style="185" customWidth="1"/>
    <col min="3843" max="3843" width="15.42578125" style="185" customWidth="1"/>
    <col min="3844" max="3844" width="16.42578125" style="185" customWidth="1"/>
    <col min="3845" max="3845" width="16.140625" style="185" customWidth="1"/>
    <col min="3846" max="3846" width="13.7109375" style="185" customWidth="1"/>
    <col min="3847" max="3847" width="18.85546875" style="185" customWidth="1"/>
    <col min="3848" max="3848" width="15.7109375" style="185" customWidth="1"/>
    <col min="3849" max="3850" width="16.5703125" style="185" customWidth="1"/>
    <col min="3851" max="3851" width="13.140625" style="185" bestFit="1" customWidth="1"/>
    <col min="3852" max="3852" width="13.42578125" style="185" customWidth="1"/>
    <col min="3853" max="3853" width="14.7109375" style="185" customWidth="1"/>
    <col min="3854" max="3854" width="14.7109375" style="185" bestFit="1" customWidth="1"/>
    <col min="3855" max="3859" width="14.42578125" style="185" customWidth="1"/>
    <col min="3860" max="3860" width="14.85546875" style="185" bestFit="1" customWidth="1"/>
    <col min="3861" max="3861" width="10.85546875" style="185" bestFit="1" customWidth="1"/>
    <col min="3862" max="4096" width="9.140625" style="185"/>
    <col min="4097" max="4097" width="8.42578125" style="185" customWidth="1"/>
    <col min="4098" max="4098" width="14.42578125" style="185" customWidth="1"/>
    <col min="4099" max="4099" width="15.42578125" style="185" customWidth="1"/>
    <col min="4100" max="4100" width="16.42578125" style="185" customWidth="1"/>
    <col min="4101" max="4101" width="16.140625" style="185" customWidth="1"/>
    <col min="4102" max="4102" width="13.7109375" style="185" customWidth="1"/>
    <col min="4103" max="4103" width="18.85546875" style="185" customWidth="1"/>
    <col min="4104" max="4104" width="15.7109375" style="185" customWidth="1"/>
    <col min="4105" max="4106" width="16.5703125" style="185" customWidth="1"/>
    <col min="4107" max="4107" width="13.140625" style="185" bestFit="1" customWidth="1"/>
    <col min="4108" max="4108" width="13.42578125" style="185" customWidth="1"/>
    <col min="4109" max="4109" width="14.7109375" style="185" customWidth="1"/>
    <col min="4110" max="4110" width="14.7109375" style="185" bestFit="1" customWidth="1"/>
    <col min="4111" max="4115" width="14.42578125" style="185" customWidth="1"/>
    <col min="4116" max="4116" width="14.85546875" style="185" bestFit="1" customWidth="1"/>
    <col min="4117" max="4117" width="10.85546875" style="185" bestFit="1" customWidth="1"/>
    <col min="4118" max="4352" width="9.140625" style="185"/>
    <col min="4353" max="4353" width="8.42578125" style="185" customWidth="1"/>
    <col min="4354" max="4354" width="14.42578125" style="185" customWidth="1"/>
    <col min="4355" max="4355" width="15.42578125" style="185" customWidth="1"/>
    <col min="4356" max="4356" width="16.42578125" style="185" customWidth="1"/>
    <col min="4357" max="4357" width="16.140625" style="185" customWidth="1"/>
    <col min="4358" max="4358" width="13.7109375" style="185" customWidth="1"/>
    <col min="4359" max="4359" width="18.85546875" style="185" customWidth="1"/>
    <col min="4360" max="4360" width="15.7109375" style="185" customWidth="1"/>
    <col min="4361" max="4362" width="16.5703125" style="185" customWidth="1"/>
    <col min="4363" max="4363" width="13.140625" style="185" bestFit="1" customWidth="1"/>
    <col min="4364" max="4364" width="13.42578125" style="185" customWidth="1"/>
    <col min="4365" max="4365" width="14.7109375" style="185" customWidth="1"/>
    <col min="4366" max="4366" width="14.7109375" style="185" bestFit="1" customWidth="1"/>
    <col min="4367" max="4371" width="14.42578125" style="185" customWidth="1"/>
    <col min="4372" max="4372" width="14.85546875" style="185" bestFit="1" customWidth="1"/>
    <col min="4373" max="4373" width="10.85546875" style="185" bestFit="1" customWidth="1"/>
    <col min="4374" max="4608" width="9.140625" style="185"/>
    <col min="4609" max="4609" width="8.42578125" style="185" customWidth="1"/>
    <col min="4610" max="4610" width="14.42578125" style="185" customWidth="1"/>
    <col min="4611" max="4611" width="15.42578125" style="185" customWidth="1"/>
    <col min="4612" max="4612" width="16.42578125" style="185" customWidth="1"/>
    <col min="4613" max="4613" width="16.140625" style="185" customWidth="1"/>
    <col min="4614" max="4614" width="13.7109375" style="185" customWidth="1"/>
    <col min="4615" max="4615" width="18.85546875" style="185" customWidth="1"/>
    <col min="4616" max="4616" width="15.7109375" style="185" customWidth="1"/>
    <col min="4617" max="4618" width="16.5703125" style="185" customWidth="1"/>
    <col min="4619" max="4619" width="13.140625" style="185" bestFit="1" customWidth="1"/>
    <col min="4620" max="4620" width="13.42578125" style="185" customWidth="1"/>
    <col min="4621" max="4621" width="14.7109375" style="185" customWidth="1"/>
    <col min="4622" max="4622" width="14.7109375" style="185" bestFit="1" customWidth="1"/>
    <col min="4623" max="4627" width="14.42578125" style="185" customWidth="1"/>
    <col min="4628" max="4628" width="14.85546875" style="185" bestFit="1" customWidth="1"/>
    <col min="4629" max="4629" width="10.85546875" style="185" bestFit="1" customWidth="1"/>
    <col min="4630" max="4864" width="9.140625" style="185"/>
    <col min="4865" max="4865" width="8.42578125" style="185" customWidth="1"/>
    <col min="4866" max="4866" width="14.42578125" style="185" customWidth="1"/>
    <col min="4867" max="4867" width="15.42578125" style="185" customWidth="1"/>
    <col min="4868" max="4868" width="16.42578125" style="185" customWidth="1"/>
    <col min="4869" max="4869" width="16.140625" style="185" customWidth="1"/>
    <col min="4870" max="4870" width="13.7109375" style="185" customWidth="1"/>
    <col min="4871" max="4871" width="18.85546875" style="185" customWidth="1"/>
    <col min="4872" max="4872" width="15.7109375" style="185" customWidth="1"/>
    <col min="4873" max="4874" width="16.5703125" style="185" customWidth="1"/>
    <col min="4875" max="4875" width="13.140625" style="185" bestFit="1" customWidth="1"/>
    <col min="4876" max="4876" width="13.42578125" style="185" customWidth="1"/>
    <col min="4877" max="4877" width="14.7109375" style="185" customWidth="1"/>
    <col min="4878" max="4878" width="14.7109375" style="185" bestFit="1" customWidth="1"/>
    <col min="4879" max="4883" width="14.42578125" style="185" customWidth="1"/>
    <col min="4884" max="4884" width="14.85546875" style="185" bestFit="1" customWidth="1"/>
    <col min="4885" max="4885" width="10.85546875" style="185" bestFit="1" customWidth="1"/>
    <col min="4886" max="5120" width="9.140625" style="185"/>
    <col min="5121" max="5121" width="8.42578125" style="185" customWidth="1"/>
    <col min="5122" max="5122" width="14.42578125" style="185" customWidth="1"/>
    <col min="5123" max="5123" width="15.42578125" style="185" customWidth="1"/>
    <col min="5124" max="5124" width="16.42578125" style="185" customWidth="1"/>
    <col min="5125" max="5125" width="16.140625" style="185" customWidth="1"/>
    <col min="5126" max="5126" width="13.7109375" style="185" customWidth="1"/>
    <col min="5127" max="5127" width="18.85546875" style="185" customWidth="1"/>
    <col min="5128" max="5128" width="15.7109375" style="185" customWidth="1"/>
    <col min="5129" max="5130" width="16.5703125" style="185" customWidth="1"/>
    <col min="5131" max="5131" width="13.140625" style="185" bestFit="1" customWidth="1"/>
    <col min="5132" max="5132" width="13.42578125" style="185" customWidth="1"/>
    <col min="5133" max="5133" width="14.7109375" style="185" customWidth="1"/>
    <col min="5134" max="5134" width="14.7109375" style="185" bestFit="1" customWidth="1"/>
    <col min="5135" max="5139" width="14.42578125" style="185" customWidth="1"/>
    <col min="5140" max="5140" width="14.85546875" style="185" bestFit="1" customWidth="1"/>
    <col min="5141" max="5141" width="10.85546875" style="185" bestFit="1" customWidth="1"/>
    <col min="5142" max="5376" width="9.140625" style="185"/>
    <col min="5377" max="5377" width="8.42578125" style="185" customWidth="1"/>
    <col min="5378" max="5378" width="14.42578125" style="185" customWidth="1"/>
    <col min="5379" max="5379" width="15.42578125" style="185" customWidth="1"/>
    <col min="5380" max="5380" width="16.42578125" style="185" customWidth="1"/>
    <col min="5381" max="5381" width="16.140625" style="185" customWidth="1"/>
    <col min="5382" max="5382" width="13.7109375" style="185" customWidth="1"/>
    <col min="5383" max="5383" width="18.85546875" style="185" customWidth="1"/>
    <col min="5384" max="5384" width="15.7109375" style="185" customWidth="1"/>
    <col min="5385" max="5386" width="16.5703125" style="185" customWidth="1"/>
    <col min="5387" max="5387" width="13.140625" style="185" bestFit="1" customWidth="1"/>
    <col min="5388" max="5388" width="13.42578125" style="185" customWidth="1"/>
    <col min="5389" max="5389" width="14.7109375" style="185" customWidth="1"/>
    <col min="5390" max="5390" width="14.7109375" style="185" bestFit="1" customWidth="1"/>
    <col min="5391" max="5395" width="14.42578125" style="185" customWidth="1"/>
    <col min="5396" max="5396" width="14.85546875" style="185" bestFit="1" customWidth="1"/>
    <col min="5397" max="5397" width="10.85546875" style="185" bestFit="1" customWidth="1"/>
    <col min="5398" max="5632" width="9.140625" style="185"/>
    <col min="5633" max="5633" width="8.42578125" style="185" customWidth="1"/>
    <col min="5634" max="5634" width="14.42578125" style="185" customWidth="1"/>
    <col min="5635" max="5635" width="15.42578125" style="185" customWidth="1"/>
    <col min="5636" max="5636" width="16.42578125" style="185" customWidth="1"/>
    <col min="5637" max="5637" width="16.140625" style="185" customWidth="1"/>
    <col min="5638" max="5638" width="13.7109375" style="185" customWidth="1"/>
    <col min="5639" max="5639" width="18.85546875" style="185" customWidth="1"/>
    <col min="5640" max="5640" width="15.7109375" style="185" customWidth="1"/>
    <col min="5641" max="5642" width="16.5703125" style="185" customWidth="1"/>
    <col min="5643" max="5643" width="13.140625" style="185" bestFit="1" customWidth="1"/>
    <col min="5644" max="5644" width="13.42578125" style="185" customWidth="1"/>
    <col min="5645" max="5645" width="14.7109375" style="185" customWidth="1"/>
    <col min="5646" max="5646" width="14.7109375" style="185" bestFit="1" customWidth="1"/>
    <col min="5647" max="5651" width="14.42578125" style="185" customWidth="1"/>
    <col min="5652" max="5652" width="14.85546875" style="185" bestFit="1" customWidth="1"/>
    <col min="5653" max="5653" width="10.85546875" style="185" bestFit="1" customWidth="1"/>
    <col min="5654" max="5888" width="9.140625" style="185"/>
    <col min="5889" max="5889" width="8.42578125" style="185" customWidth="1"/>
    <col min="5890" max="5890" width="14.42578125" style="185" customWidth="1"/>
    <col min="5891" max="5891" width="15.42578125" style="185" customWidth="1"/>
    <col min="5892" max="5892" width="16.42578125" style="185" customWidth="1"/>
    <col min="5893" max="5893" width="16.140625" style="185" customWidth="1"/>
    <col min="5894" max="5894" width="13.7109375" style="185" customWidth="1"/>
    <col min="5895" max="5895" width="18.85546875" style="185" customWidth="1"/>
    <col min="5896" max="5896" width="15.7109375" style="185" customWidth="1"/>
    <col min="5897" max="5898" width="16.5703125" style="185" customWidth="1"/>
    <col min="5899" max="5899" width="13.140625" style="185" bestFit="1" customWidth="1"/>
    <col min="5900" max="5900" width="13.42578125" style="185" customWidth="1"/>
    <col min="5901" max="5901" width="14.7109375" style="185" customWidth="1"/>
    <col min="5902" max="5902" width="14.7109375" style="185" bestFit="1" customWidth="1"/>
    <col min="5903" max="5907" width="14.42578125" style="185" customWidth="1"/>
    <col min="5908" max="5908" width="14.85546875" style="185" bestFit="1" customWidth="1"/>
    <col min="5909" max="5909" width="10.85546875" style="185" bestFit="1" customWidth="1"/>
    <col min="5910" max="6144" width="9.140625" style="185"/>
    <col min="6145" max="6145" width="8.42578125" style="185" customWidth="1"/>
    <col min="6146" max="6146" width="14.42578125" style="185" customWidth="1"/>
    <col min="6147" max="6147" width="15.42578125" style="185" customWidth="1"/>
    <col min="6148" max="6148" width="16.42578125" style="185" customWidth="1"/>
    <col min="6149" max="6149" width="16.140625" style="185" customWidth="1"/>
    <col min="6150" max="6150" width="13.7109375" style="185" customWidth="1"/>
    <col min="6151" max="6151" width="18.85546875" style="185" customWidth="1"/>
    <col min="6152" max="6152" width="15.7109375" style="185" customWidth="1"/>
    <col min="6153" max="6154" width="16.5703125" style="185" customWidth="1"/>
    <col min="6155" max="6155" width="13.140625" style="185" bestFit="1" customWidth="1"/>
    <col min="6156" max="6156" width="13.42578125" style="185" customWidth="1"/>
    <col min="6157" max="6157" width="14.7109375" style="185" customWidth="1"/>
    <col min="6158" max="6158" width="14.7109375" style="185" bestFit="1" customWidth="1"/>
    <col min="6159" max="6163" width="14.42578125" style="185" customWidth="1"/>
    <col min="6164" max="6164" width="14.85546875" style="185" bestFit="1" customWidth="1"/>
    <col min="6165" max="6165" width="10.85546875" style="185" bestFit="1" customWidth="1"/>
    <col min="6166" max="6400" width="9.140625" style="185"/>
    <col min="6401" max="6401" width="8.42578125" style="185" customWidth="1"/>
    <col min="6402" max="6402" width="14.42578125" style="185" customWidth="1"/>
    <col min="6403" max="6403" width="15.42578125" style="185" customWidth="1"/>
    <col min="6404" max="6404" width="16.42578125" style="185" customWidth="1"/>
    <col min="6405" max="6405" width="16.140625" style="185" customWidth="1"/>
    <col min="6406" max="6406" width="13.7109375" style="185" customWidth="1"/>
    <col min="6407" max="6407" width="18.85546875" style="185" customWidth="1"/>
    <col min="6408" max="6408" width="15.7109375" style="185" customWidth="1"/>
    <col min="6409" max="6410" width="16.5703125" style="185" customWidth="1"/>
    <col min="6411" max="6411" width="13.140625" style="185" bestFit="1" customWidth="1"/>
    <col min="6412" max="6412" width="13.42578125" style="185" customWidth="1"/>
    <col min="6413" max="6413" width="14.7109375" style="185" customWidth="1"/>
    <col min="6414" max="6414" width="14.7109375" style="185" bestFit="1" customWidth="1"/>
    <col min="6415" max="6419" width="14.42578125" style="185" customWidth="1"/>
    <col min="6420" max="6420" width="14.85546875" style="185" bestFit="1" customWidth="1"/>
    <col min="6421" max="6421" width="10.85546875" style="185" bestFit="1" customWidth="1"/>
    <col min="6422" max="6656" width="9.140625" style="185"/>
    <col min="6657" max="6657" width="8.42578125" style="185" customWidth="1"/>
    <col min="6658" max="6658" width="14.42578125" style="185" customWidth="1"/>
    <col min="6659" max="6659" width="15.42578125" style="185" customWidth="1"/>
    <col min="6660" max="6660" width="16.42578125" style="185" customWidth="1"/>
    <col min="6661" max="6661" width="16.140625" style="185" customWidth="1"/>
    <col min="6662" max="6662" width="13.7109375" style="185" customWidth="1"/>
    <col min="6663" max="6663" width="18.85546875" style="185" customWidth="1"/>
    <col min="6664" max="6664" width="15.7109375" style="185" customWidth="1"/>
    <col min="6665" max="6666" width="16.5703125" style="185" customWidth="1"/>
    <col min="6667" max="6667" width="13.140625" style="185" bestFit="1" customWidth="1"/>
    <col min="6668" max="6668" width="13.42578125" style="185" customWidth="1"/>
    <col min="6669" max="6669" width="14.7109375" style="185" customWidth="1"/>
    <col min="6670" max="6670" width="14.7109375" style="185" bestFit="1" customWidth="1"/>
    <col min="6671" max="6675" width="14.42578125" style="185" customWidth="1"/>
    <col min="6676" max="6676" width="14.85546875" style="185" bestFit="1" customWidth="1"/>
    <col min="6677" max="6677" width="10.85546875" style="185" bestFit="1" customWidth="1"/>
    <col min="6678" max="6912" width="9.140625" style="185"/>
    <col min="6913" max="6913" width="8.42578125" style="185" customWidth="1"/>
    <col min="6914" max="6914" width="14.42578125" style="185" customWidth="1"/>
    <col min="6915" max="6915" width="15.42578125" style="185" customWidth="1"/>
    <col min="6916" max="6916" width="16.42578125" style="185" customWidth="1"/>
    <col min="6917" max="6917" width="16.140625" style="185" customWidth="1"/>
    <col min="6918" max="6918" width="13.7109375" style="185" customWidth="1"/>
    <col min="6919" max="6919" width="18.85546875" style="185" customWidth="1"/>
    <col min="6920" max="6920" width="15.7109375" style="185" customWidth="1"/>
    <col min="6921" max="6922" width="16.5703125" style="185" customWidth="1"/>
    <col min="6923" max="6923" width="13.140625" style="185" bestFit="1" customWidth="1"/>
    <col min="6924" max="6924" width="13.42578125" style="185" customWidth="1"/>
    <col min="6925" max="6925" width="14.7109375" style="185" customWidth="1"/>
    <col min="6926" max="6926" width="14.7109375" style="185" bestFit="1" customWidth="1"/>
    <col min="6927" max="6931" width="14.42578125" style="185" customWidth="1"/>
    <col min="6932" max="6932" width="14.85546875" style="185" bestFit="1" customWidth="1"/>
    <col min="6933" max="6933" width="10.85546875" style="185" bestFit="1" customWidth="1"/>
    <col min="6934" max="7168" width="9.140625" style="185"/>
    <col min="7169" max="7169" width="8.42578125" style="185" customWidth="1"/>
    <col min="7170" max="7170" width="14.42578125" style="185" customWidth="1"/>
    <col min="7171" max="7171" width="15.42578125" style="185" customWidth="1"/>
    <col min="7172" max="7172" width="16.42578125" style="185" customWidth="1"/>
    <col min="7173" max="7173" width="16.140625" style="185" customWidth="1"/>
    <col min="7174" max="7174" width="13.7109375" style="185" customWidth="1"/>
    <col min="7175" max="7175" width="18.85546875" style="185" customWidth="1"/>
    <col min="7176" max="7176" width="15.7109375" style="185" customWidth="1"/>
    <col min="7177" max="7178" width="16.5703125" style="185" customWidth="1"/>
    <col min="7179" max="7179" width="13.140625" style="185" bestFit="1" customWidth="1"/>
    <col min="7180" max="7180" width="13.42578125" style="185" customWidth="1"/>
    <col min="7181" max="7181" width="14.7109375" style="185" customWidth="1"/>
    <col min="7182" max="7182" width="14.7109375" style="185" bestFit="1" customWidth="1"/>
    <col min="7183" max="7187" width="14.42578125" style="185" customWidth="1"/>
    <col min="7188" max="7188" width="14.85546875" style="185" bestFit="1" customWidth="1"/>
    <col min="7189" max="7189" width="10.85546875" style="185" bestFit="1" customWidth="1"/>
    <col min="7190" max="7424" width="9.140625" style="185"/>
    <col min="7425" max="7425" width="8.42578125" style="185" customWidth="1"/>
    <col min="7426" max="7426" width="14.42578125" style="185" customWidth="1"/>
    <col min="7427" max="7427" width="15.42578125" style="185" customWidth="1"/>
    <col min="7428" max="7428" width="16.42578125" style="185" customWidth="1"/>
    <col min="7429" max="7429" width="16.140625" style="185" customWidth="1"/>
    <col min="7430" max="7430" width="13.7109375" style="185" customWidth="1"/>
    <col min="7431" max="7431" width="18.85546875" style="185" customWidth="1"/>
    <col min="7432" max="7432" width="15.7109375" style="185" customWidth="1"/>
    <col min="7433" max="7434" width="16.5703125" style="185" customWidth="1"/>
    <col min="7435" max="7435" width="13.140625" style="185" bestFit="1" customWidth="1"/>
    <col min="7436" max="7436" width="13.42578125" style="185" customWidth="1"/>
    <col min="7437" max="7437" width="14.7109375" style="185" customWidth="1"/>
    <col min="7438" max="7438" width="14.7109375" style="185" bestFit="1" customWidth="1"/>
    <col min="7439" max="7443" width="14.42578125" style="185" customWidth="1"/>
    <col min="7444" max="7444" width="14.85546875" style="185" bestFit="1" customWidth="1"/>
    <col min="7445" max="7445" width="10.85546875" style="185" bestFit="1" customWidth="1"/>
    <col min="7446" max="7680" width="9.140625" style="185"/>
    <col min="7681" max="7681" width="8.42578125" style="185" customWidth="1"/>
    <col min="7682" max="7682" width="14.42578125" style="185" customWidth="1"/>
    <col min="7683" max="7683" width="15.42578125" style="185" customWidth="1"/>
    <col min="7684" max="7684" width="16.42578125" style="185" customWidth="1"/>
    <col min="7685" max="7685" width="16.140625" style="185" customWidth="1"/>
    <col min="7686" max="7686" width="13.7109375" style="185" customWidth="1"/>
    <col min="7687" max="7687" width="18.85546875" style="185" customWidth="1"/>
    <col min="7688" max="7688" width="15.7109375" style="185" customWidth="1"/>
    <col min="7689" max="7690" width="16.5703125" style="185" customWidth="1"/>
    <col min="7691" max="7691" width="13.140625" style="185" bestFit="1" customWidth="1"/>
    <col min="7692" max="7692" width="13.42578125" style="185" customWidth="1"/>
    <col min="7693" max="7693" width="14.7109375" style="185" customWidth="1"/>
    <col min="7694" max="7694" width="14.7109375" style="185" bestFit="1" customWidth="1"/>
    <col min="7695" max="7699" width="14.42578125" style="185" customWidth="1"/>
    <col min="7700" max="7700" width="14.85546875" style="185" bestFit="1" customWidth="1"/>
    <col min="7701" max="7701" width="10.85546875" style="185" bestFit="1" customWidth="1"/>
    <col min="7702" max="7936" width="9.140625" style="185"/>
    <col min="7937" max="7937" width="8.42578125" style="185" customWidth="1"/>
    <col min="7938" max="7938" width="14.42578125" style="185" customWidth="1"/>
    <col min="7939" max="7939" width="15.42578125" style="185" customWidth="1"/>
    <col min="7940" max="7940" width="16.42578125" style="185" customWidth="1"/>
    <col min="7941" max="7941" width="16.140625" style="185" customWidth="1"/>
    <col min="7942" max="7942" width="13.7109375" style="185" customWidth="1"/>
    <col min="7943" max="7943" width="18.85546875" style="185" customWidth="1"/>
    <col min="7944" max="7944" width="15.7109375" style="185" customWidth="1"/>
    <col min="7945" max="7946" width="16.5703125" style="185" customWidth="1"/>
    <col min="7947" max="7947" width="13.140625" style="185" bestFit="1" customWidth="1"/>
    <col min="7948" max="7948" width="13.42578125" style="185" customWidth="1"/>
    <col min="7949" max="7949" width="14.7109375" style="185" customWidth="1"/>
    <col min="7950" max="7950" width="14.7109375" style="185" bestFit="1" customWidth="1"/>
    <col min="7951" max="7955" width="14.42578125" style="185" customWidth="1"/>
    <col min="7956" max="7956" width="14.85546875" style="185" bestFit="1" customWidth="1"/>
    <col min="7957" max="7957" width="10.85546875" style="185" bestFit="1" customWidth="1"/>
    <col min="7958" max="8192" width="9.140625" style="185"/>
    <col min="8193" max="8193" width="8.42578125" style="185" customWidth="1"/>
    <col min="8194" max="8194" width="14.42578125" style="185" customWidth="1"/>
    <col min="8195" max="8195" width="15.42578125" style="185" customWidth="1"/>
    <col min="8196" max="8196" width="16.42578125" style="185" customWidth="1"/>
    <col min="8197" max="8197" width="16.140625" style="185" customWidth="1"/>
    <col min="8198" max="8198" width="13.7109375" style="185" customWidth="1"/>
    <col min="8199" max="8199" width="18.85546875" style="185" customWidth="1"/>
    <col min="8200" max="8200" width="15.7109375" style="185" customWidth="1"/>
    <col min="8201" max="8202" width="16.5703125" style="185" customWidth="1"/>
    <col min="8203" max="8203" width="13.140625" style="185" bestFit="1" customWidth="1"/>
    <col min="8204" max="8204" width="13.42578125" style="185" customWidth="1"/>
    <col min="8205" max="8205" width="14.7109375" style="185" customWidth="1"/>
    <col min="8206" max="8206" width="14.7109375" style="185" bestFit="1" customWidth="1"/>
    <col min="8207" max="8211" width="14.42578125" style="185" customWidth="1"/>
    <col min="8212" max="8212" width="14.85546875" style="185" bestFit="1" customWidth="1"/>
    <col min="8213" max="8213" width="10.85546875" style="185" bestFit="1" customWidth="1"/>
    <col min="8214" max="8448" width="9.140625" style="185"/>
    <col min="8449" max="8449" width="8.42578125" style="185" customWidth="1"/>
    <col min="8450" max="8450" width="14.42578125" style="185" customWidth="1"/>
    <col min="8451" max="8451" width="15.42578125" style="185" customWidth="1"/>
    <col min="8452" max="8452" width="16.42578125" style="185" customWidth="1"/>
    <col min="8453" max="8453" width="16.140625" style="185" customWidth="1"/>
    <col min="8454" max="8454" width="13.7109375" style="185" customWidth="1"/>
    <col min="8455" max="8455" width="18.85546875" style="185" customWidth="1"/>
    <col min="8456" max="8456" width="15.7109375" style="185" customWidth="1"/>
    <col min="8457" max="8458" width="16.5703125" style="185" customWidth="1"/>
    <col min="8459" max="8459" width="13.140625" style="185" bestFit="1" customWidth="1"/>
    <col min="8460" max="8460" width="13.42578125" style="185" customWidth="1"/>
    <col min="8461" max="8461" width="14.7109375" style="185" customWidth="1"/>
    <col min="8462" max="8462" width="14.7109375" style="185" bestFit="1" customWidth="1"/>
    <col min="8463" max="8467" width="14.42578125" style="185" customWidth="1"/>
    <col min="8468" max="8468" width="14.85546875" style="185" bestFit="1" customWidth="1"/>
    <col min="8469" max="8469" width="10.85546875" style="185" bestFit="1" customWidth="1"/>
    <col min="8470" max="8704" width="9.140625" style="185"/>
    <col min="8705" max="8705" width="8.42578125" style="185" customWidth="1"/>
    <col min="8706" max="8706" width="14.42578125" style="185" customWidth="1"/>
    <col min="8707" max="8707" width="15.42578125" style="185" customWidth="1"/>
    <col min="8708" max="8708" width="16.42578125" style="185" customWidth="1"/>
    <col min="8709" max="8709" width="16.140625" style="185" customWidth="1"/>
    <col min="8710" max="8710" width="13.7109375" style="185" customWidth="1"/>
    <col min="8711" max="8711" width="18.85546875" style="185" customWidth="1"/>
    <col min="8712" max="8712" width="15.7109375" style="185" customWidth="1"/>
    <col min="8713" max="8714" width="16.5703125" style="185" customWidth="1"/>
    <col min="8715" max="8715" width="13.140625" style="185" bestFit="1" customWidth="1"/>
    <col min="8716" max="8716" width="13.42578125" style="185" customWidth="1"/>
    <col min="8717" max="8717" width="14.7109375" style="185" customWidth="1"/>
    <col min="8718" max="8718" width="14.7109375" style="185" bestFit="1" customWidth="1"/>
    <col min="8719" max="8723" width="14.42578125" style="185" customWidth="1"/>
    <col min="8724" max="8724" width="14.85546875" style="185" bestFit="1" customWidth="1"/>
    <col min="8725" max="8725" width="10.85546875" style="185" bestFit="1" customWidth="1"/>
    <col min="8726" max="8960" width="9.140625" style="185"/>
    <col min="8961" max="8961" width="8.42578125" style="185" customWidth="1"/>
    <col min="8962" max="8962" width="14.42578125" style="185" customWidth="1"/>
    <col min="8963" max="8963" width="15.42578125" style="185" customWidth="1"/>
    <col min="8964" max="8964" width="16.42578125" style="185" customWidth="1"/>
    <col min="8965" max="8965" width="16.140625" style="185" customWidth="1"/>
    <col min="8966" max="8966" width="13.7109375" style="185" customWidth="1"/>
    <col min="8967" max="8967" width="18.85546875" style="185" customWidth="1"/>
    <col min="8968" max="8968" width="15.7109375" style="185" customWidth="1"/>
    <col min="8969" max="8970" width="16.5703125" style="185" customWidth="1"/>
    <col min="8971" max="8971" width="13.140625" style="185" bestFit="1" customWidth="1"/>
    <col min="8972" max="8972" width="13.42578125" style="185" customWidth="1"/>
    <col min="8973" max="8973" width="14.7109375" style="185" customWidth="1"/>
    <col min="8974" max="8974" width="14.7109375" style="185" bestFit="1" customWidth="1"/>
    <col min="8975" max="8979" width="14.42578125" style="185" customWidth="1"/>
    <col min="8980" max="8980" width="14.85546875" style="185" bestFit="1" customWidth="1"/>
    <col min="8981" max="8981" width="10.85546875" style="185" bestFit="1" customWidth="1"/>
    <col min="8982" max="9216" width="9.140625" style="185"/>
    <col min="9217" max="9217" width="8.42578125" style="185" customWidth="1"/>
    <col min="9218" max="9218" width="14.42578125" style="185" customWidth="1"/>
    <col min="9219" max="9219" width="15.42578125" style="185" customWidth="1"/>
    <col min="9220" max="9220" width="16.42578125" style="185" customWidth="1"/>
    <col min="9221" max="9221" width="16.140625" style="185" customWidth="1"/>
    <col min="9222" max="9222" width="13.7109375" style="185" customWidth="1"/>
    <col min="9223" max="9223" width="18.85546875" style="185" customWidth="1"/>
    <col min="9224" max="9224" width="15.7109375" style="185" customWidth="1"/>
    <col min="9225" max="9226" width="16.5703125" style="185" customWidth="1"/>
    <col min="9227" max="9227" width="13.140625" style="185" bestFit="1" customWidth="1"/>
    <col min="9228" max="9228" width="13.42578125" style="185" customWidth="1"/>
    <col min="9229" max="9229" width="14.7109375" style="185" customWidth="1"/>
    <col min="9230" max="9230" width="14.7109375" style="185" bestFit="1" customWidth="1"/>
    <col min="9231" max="9235" width="14.42578125" style="185" customWidth="1"/>
    <col min="9236" max="9236" width="14.85546875" style="185" bestFit="1" customWidth="1"/>
    <col min="9237" max="9237" width="10.85546875" style="185" bestFit="1" customWidth="1"/>
    <col min="9238" max="9472" width="9.140625" style="185"/>
    <col min="9473" max="9473" width="8.42578125" style="185" customWidth="1"/>
    <col min="9474" max="9474" width="14.42578125" style="185" customWidth="1"/>
    <col min="9475" max="9475" width="15.42578125" style="185" customWidth="1"/>
    <col min="9476" max="9476" width="16.42578125" style="185" customWidth="1"/>
    <col min="9477" max="9477" width="16.140625" style="185" customWidth="1"/>
    <col min="9478" max="9478" width="13.7109375" style="185" customWidth="1"/>
    <col min="9479" max="9479" width="18.85546875" style="185" customWidth="1"/>
    <col min="9480" max="9480" width="15.7109375" style="185" customWidth="1"/>
    <col min="9481" max="9482" width="16.5703125" style="185" customWidth="1"/>
    <col min="9483" max="9483" width="13.140625" style="185" bestFit="1" customWidth="1"/>
    <col min="9484" max="9484" width="13.42578125" style="185" customWidth="1"/>
    <col min="9485" max="9485" width="14.7109375" style="185" customWidth="1"/>
    <col min="9486" max="9486" width="14.7109375" style="185" bestFit="1" customWidth="1"/>
    <col min="9487" max="9491" width="14.42578125" style="185" customWidth="1"/>
    <col min="9492" max="9492" width="14.85546875" style="185" bestFit="1" customWidth="1"/>
    <col min="9493" max="9493" width="10.85546875" style="185" bestFit="1" customWidth="1"/>
    <col min="9494" max="9728" width="9.140625" style="185"/>
    <col min="9729" max="9729" width="8.42578125" style="185" customWidth="1"/>
    <col min="9730" max="9730" width="14.42578125" style="185" customWidth="1"/>
    <col min="9731" max="9731" width="15.42578125" style="185" customWidth="1"/>
    <col min="9732" max="9732" width="16.42578125" style="185" customWidth="1"/>
    <col min="9733" max="9733" width="16.140625" style="185" customWidth="1"/>
    <col min="9734" max="9734" width="13.7109375" style="185" customWidth="1"/>
    <col min="9735" max="9735" width="18.85546875" style="185" customWidth="1"/>
    <col min="9736" max="9736" width="15.7109375" style="185" customWidth="1"/>
    <col min="9737" max="9738" width="16.5703125" style="185" customWidth="1"/>
    <col min="9739" max="9739" width="13.140625" style="185" bestFit="1" customWidth="1"/>
    <col min="9740" max="9740" width="13.42578125" style="185" customWidth="1"/>
    <col min="9741" max="9741" width="14.7109375" style="185" customWidth="1"/>
    <col min="9742" max="9742" width="14.7109375" style="185" bestFit="1" customWidth="1"/>
    <col min="9743" max="9747" width="14.42578125" style="185" customWidth="1"/>
    <col min="9748" max="9748" width="14.85546875" style="185" bestFit="1" customWidth="1"/>
    <col min="9749" max="9749" width="10.85546875" style="185" bestFit="1" customWidth="1"/>
    <col min="9750" max="9984" width="9.140625" style="185"/>
    <col min="9985" max="9985" width="8.42578125" style="185" customWidth="1"/>
    <col min="9986" max="9986" width="14.42578125" style="185" customWidth="1"/>
    <col min="9987" max="9987" width="15.42578125" style="185" customWidth="1"/>
    <col min="9988" max="9988" width="16.42578125" style="185" customWidth="1"/>
    <col min="9989" max="9989" width="16.140625" style="185" customWidth="1"/>
    <col min="9990" max="9990" width="13.7109375" style="185" customWidth="1"/>
    <col min="9991" max="9991" width="18.85546875" style="185" customWidth="1"/>
    <col min="9992" max="9992" width="15.7109375" style="185" customWidth="1"/>
    <col min="9993" max="9994" width="16.5703125" style="185" customWidth="1"/>
    <col min="9995" max="9995" width="13.140625" style="185" bestFit="1" customWidth="1"/>
    <col min="9996" max="9996" width="13.42578125" style="185" customWidth="1"/>
    <col min="9997" max="9997" width="14.7109375" style="185" customWidth="1"/>
    <col min="9998" max="9998" width="14.7109375" style="185" bestFit="1" customWidth="1"/>
    <col min="9999" max="10003" width="14.42578125" style="185" customWidth="1"/>
    <col min="10004" max="10004" width="14.85546875" style="185" bestFit="1" customWidth="1"/>
    <col min="10005" max="10005" width="10.85546875" style="185" bestFit="1" customWidth="1"/>
    <col min="10006" max="10240" width="9.140625" style="185"/>
    <col min="10241" max="10241" width="8.42578125" style="185" customWidth="1"/>
    <col min="10242" max="10242" width="14.42578125" style="185" customWidth="1"/>
    <col min="10243" max="10243" width="15.42578125" style="185" customWidth="1"/>
    <col min="10244" max="10244" width="16.42578125" style="185" customWidth="1"/>
    <col min="10245" max="10245" width="16.140625" style="185" customWidth="1"/>
    <col min="10246" max="10246" width="13.7109375" style="185" customWidth="1"/>
    <col min="10247" max="10247" width="18.85546875" style="185" customWidth="1"/>
    <col min="10248" max="10248" width="15.7109375" style="185" customWidth="1"/>
    <col min="10249" max="10250" width="16.5703125" style="185" customWidth="1"/>
    <col min="10251" max="10251" width="13.140625" style="185" bestFit="1" customWidth="1"/>
    <col min="10252" max="10252" width="13.42578125" style="185" customWidth="1"/>
    <col min="10253" max="10253" width="14.7109375" style="185" customWidth="1"/>
    <col min="10254" max="10254" width="14.7109375" style="185" bestFit="1" customWidth="1"/>
    <col min="10255" max="10259" width="14.42578125" style="185" customWidth="1"/>
    <col min="10260" max="10260" width="14.85546875" style="185" bestFit="1" customWidth="1"/>
    <col min="10261" max="10261" width="10.85546875" style="185" bestFit="1" customWidth="1"/>
    <col min="10262" max="10496" width="9.140625" style="185"/>
    <col min="10497" max="10497" width="8.42578125" style="185" customWidth="1"/>
    <col min="10498" max="10498" width="14.42578125" style="185" customWidth="1"/>
    <col min="10499" max="10499" width="15.42578125" style="185" customWidth="1"/>
    <col min="10500" max="10500" width="16.42578125" style="185" customWidth="1"/>
    <col min="10501" max="10501" width="16.140625" style="185" customWidth="1"/>
    <col min="10502" max="10502" width="13.7109375" style="185" customWidth="1"/>
    <col min="10503" max="10503" width="18.85546875" style="185" customWidth="1"/>
    <col min="10504" max="10504" width="15.7109375" style="185" customWidth="1"/>
    <col min="10505" max="10506" width="16.5703125" style="185" customWidth="1"/>
    <col min="10507" max="10507" width="13.140625" style="185" bestFit="1" customWidth="1"/>
    <col min="10508" max="10508" width="13.42578125" style="185" customWidth="1"/>
    <col min="10509" max="10509" width="14.7109375" style="185" customWidth="1"/>
    <col min="10510" max="10510" width="14.7109375" style="185" bestFit="1" customWidth="1"/>
    <col min="10511" max="10515" width="14.42578125" style="185" customWidth="1"/>
    <col min="10516" max="10516" width="14.85546875" style="185" bestFit="1" customWidth="1"/>
    <col min="10517" max="10517" width="10.85546875" style="185" bestFit="1" customWidth="1"/>
    <col min="10518" max="10752" width="9.140625" style="185"/>
    <col min="10753" max="10753" width="8.42578125" style="185" customWidth="1"/>
    <col min="10754" max="10754" width="14.42578125" style="185" customWidth="1"/>
    <col min="10755" max="10755" width="15.42578125" style="185" customWidth="1"/>
    <col min="10756" max="10756" width="16.42578125" style="185" customWidth="1"/>
    <col min="10757" max="10757" width="16.140625" style="185" customWidth="1"/>
    <col min="10758" max="10758" width="13.7109375" style="185" customWidth="1"/>
    <col min="10759" max="10759" width="18.85546875" style="185" customWidth="1"/>
    <col min="10760" max="10760" width="15.7109375" style="185" customWidth="1"/>
    <col min="10761" max="10762" width="16.5703125" style="185" customWidth="1"/>
    <col min="10763" max="10763" width="13.140625" style="185" bestFit="1" customWidth="1"/>
    <col min="10764" max="10764" width="13.42578125" style="185" customWidth="1"/>
    <col min="10765" max="10765" width="14.7109375" style="185" customWidth="1"/>
    <col min="10766" max="10766" width="14.7109375" style="185" bestFit="1" customWidth="1"/>
    <col min="10767" max="10771" width="14.42578125" style="185" customWidth="1"/>
    <col min="10772" max="10772" width="14.85546875" style="185" bestFit="1" customWidth="1"/>
    <col min="10773" max="10773" width="10.85546875" style="185" bestFit="1" customWidth="1"/>
    <col min="10774" max="11008" width="9.140625" style="185"/>
    <col min="11009" max="11009" width="8.42578125" style="185" customWidth="1"/>
    <col min="11010" max="11010" width="14.42578125" style="185" customWidth="1"/>
    <col min="11011" max="11011" width="15.42578125" style="185" customWidth="1"/>
    <col min="11012" max="11012" width="16.42578125" style="185" customWidth="1"/>
    <col min="11013" max="11013" width="16.140625" style="185" customWidth="1"/>
    <col min="11014" max="11014" width="13.7109375" style="185" customWidth="1"/>
    <col min="11015" max="11015" width="18.85546875" style="185" customWidth="1"/>
    <col min="11016" max="11016" width="15.7109375" style="185" customWidth="1"/>
    <col min="11017" max="11018" width="16.5703125" style="185" customWidth="1"/>
    <col min="11019" max="11019" width="13.140625" style="185" bestFit="1" customWidth="1"/>
    <col min="11020" max="11020" width="13.42578125" style="185" customWidth="1"/>
    <col min="11021" max="11021" width="14.7109375" style="185" customWidth="1"/>
    <col min="11022" max="11022" width="14.7109375" style="185" bestFit="1" customWidth="1"/>
    <col min="11023" max="11027" width="14.42578125" style="185" customWidth="1"/>
    <col min="11028" max="11028" width="14.85546875" style="185" bestFit="1" customWidth="1"/>
    <col min="11029" max="11029" width="10.85546875" style="185" bestFit="1" customWidth="1"/>
    <col min="11030" max="11264" width="9.140625" style="185"/>
    <col min="11265" max="11265" width="8.42578125" style="185" customWidth="1"/>
    <col min="11266" max="11266" width="14.42578125" style="185" customWidth="1"/>
    <col min="11267" max="11267" width="15.42578125" style="185" customWidth="1"/>
    <col min="11268" max="11268" width="16.42578125" style="185" customWidth="1"/>
    <col min="11269" max="11269" width="16.140625" style="185" customWidth="1"/>
    <col min="11270" max="11270" width="13.7109375" style="185" customWidth="1"/>
    <col min="11271" max="11271" width="18.85546875" style="185" customWidth="1"/>
    <col min="11272" max="11272" width="15.7109375" style="185" customWidth="1"/>
    <col min="11273" max="11274" width="16.5703125" style="185" customWidth="1"/>
    <col min="11275" max="11275" width="13.140625" style="185" bestFit="1" customWidth="1"/>
    <col min="11276" max="11276" width="13.42578125" style="185" customWidth="1"/>
    <col min="11277" max="11277" width="14.7109375" style="185" customWidth="1"/>
    <col min="11278" max="11278" width="14.7109375" style="185" bestFit="1" customWidth="1"/>
    <col min="11279" max="11283" width="14.42578125" style="185" customWidth="1"/>
    <col min="11284" max="11284" width="14.85546875" style="185" bestFit="1" customWidth="1"/>
    <col min="11285" max="11285" width="10.85546875" style="185" bestFit="1" customWidth="1"/>
    <col min="11286" max="11520" width="9.140625" style="185"/>
    <col min="11521" max="11521" width="8.42578125" style="185" customWidth="1"/>
    <col min="11522" max="11522" width="14.42578125" style="185" customWidth="1"/>
    <col min="11523" max="11523" width="15.42578125" style="185" customWidth="1"/>
    <col min="11524" max="11524" width="16.42578125" style="185" customWidth="1"/>
    <col min="11525" max="11525" width="16.140625" style="185" customWidth="1"/>
    <col min="11526" max="11526" width="13.7109375" style="185" customWidth="1"/>
    <col min="11527" max="11527" width="18.85546875" style="185" customWidth="1"/>
    <col min="11528" max="11528" width="15.7109375" style="185" customWidth="1"/>
    <col min="11529" max="11530" width="16.5703125" style="185" customWidth="1"/>
    <col min="11531" max="11531" width="13.140625" style="185" bestFit="1" customWidth="1"/>
    <col min="11532" max="11532" width="13.42578125" style="185" customWidth="1"/>
    <col min="11533" max="11533" width="14.7109375" style="185" customWidth="1"/>
    <col min="11534" max="11534" width="14.7109375" style="185" bestFit="1" customWidth="1"/>
    <col min="11535" max="11539" width="14.42578125" style="185" customWidth="1"/>
    <col min="11540" max="11540" width="14.85546875" style="185" bestFit="1" customWidth="1"/>
    <col min="11541" max="11541" width="10.85546875" style="185" bestFit="1" customWidth="1"/>
    <col min="11542" max="11776" width="9.140625" style="185"/>
    <col min="11777" max="11777" width="8.42578125" style="185" customWidth="1"/>
    <col min="11778" max="11778" width="14.42578125" style="185" customWidth="1"/>
    <col min="11779" max="11779" width="15.42578125" style="185" customWidth="1"/>
    <col min="11780" max="11780" width="16.42578125" style="185" customWidth="1"/>
    <col min="11781" max="11781" width="16.140625" style="185" customWidth="1"/>
    <col min="11782" max="11782" width="13.7109375" style="185" customWidth="1"/>
    <col min="11783" max="11783" width="18.85546875" style="185" customWidth="1"/>
    <col min="11784" max="11784" width="15.7109375" style="185" customWidth="1"/>
    <col min="11785" max="11786" width="16.5703125" style="185" customWidth="1"/>
    <col min="11787" max="11787" width="13.140625" style="185" bestFit="1" customWidth="1"/>
    <col min="11788" max="11788" width="13.42578125" style="185" customWidth="1"/>
    <col min="11789" max="11789" width="14.7109375" style="185" customWidth="1"/>
    <col min="11790" max="11790" width="14.7109375" style="185" bestFit="1" customWidth="1"/>
    <col min="11791" max="11795" width="14.42578125" style="185" customWidth="1"/>
    <col min="11796" max="11796" width="14.85546875" style="185" bestFit="1" customWidth="1"/>
    <col min="11797" max="11797" width="10.85546875" style="185" bestFit="1" customWidth="1"/>
    <col min="11798" max="12032" width="9.140625" style="185"/>
    <col min="12033" max="12033" width="8.42578125" style="185" customWidth="1"/>
    <col min="12034" max="12034" width="14.42578125" style="185" customWidth="1"/>
    <col min="12035" max="12035" width="15.42578125" style="185" customWidth="1"/>
    <col min="12036" max="12036" width="16.42578125" style="185" customWidth="1"/>
    <col min="12037" max="12037" width="16.140625" style="185" customWidth="1"/>
    <col min="12038" max="12038" width="13.7109375" style="185" customWidth="1"/>
    <col min="12039" max="12039" width="18.85546875" style="185" customWidth="1"/>
    <col min="12040" max="12040" width="15.7109375" style="185" customWidth="1"/>
    <col min="12041" max="12042" width="16.5703125" style="185" customWidth="1"/>
    <col min="12043" max="12043" width="13.140625" style="185" bestFit="1" customWidth="1"/>
    <col min="12044" max="12044" width="13.42578125" style="185" customWidth="1"/>
    <col min="12045" max="12045" width="14.7109375" style="185" customWidth="1"/>
    <col min="12046" max="12046" width="14.7109375" style="185" bestFit="1" customWidth="1"/>
    <col min="12047" max="12051" width="14.42578125" style="185" customWidth="1"/>
    <col min="12052" max="12052" width="14.85546875" style="185" bestFit="1" customWidth="1"/>
    <col min="12053" max="12053" width="10.85546875" style="185" bestFit="1" customWidth="1"/>
    <col min="12054" max="12288" width="9.140625" style="185"/>
    <col min="12289" max="12289" width="8.42578125" style="185" customWidth="1"/>
    <col min="12290" max="12290" width="14.42578125" style="185" customWidth="1"/>
    <col min="12291" max="12291" width="15.42578125" style="185" customWidth="1"/>
    <col min="12292" max="12292" width="16.42578125" style="185" customWidth="1"/>
    <col min="12293" max="12293" width="16.140625" style="185" customWidth="1"/>
    <col min="12294" max="12294" width="13.7109375" style="185" customWidth="1"/>
    <col min="12295" max="12295" width="18.85546875" style="185" customWidth="1"/>
    <col min="12296" max="12296" width="15.7109375" style="185" customWidth="1"/>
    <col min="12297" max="12298" width="16.5703125" style="185" customWidth="1"/>
    <col min="12299" max="12299" width="13.140625" style="185" bestFit="1" customWidth="1"/>
    <col min="12300" max="12300" width="13.42578125" style="185" customWidth="1"/>
    <col min="12301" max="12301" width="14.7109375" style="185" customWidth="1"/>
    <col min="12302" max="12302" width="14.7109375" style="185" bestFit="1" customWidth="1"/>
    <col min="12303" max="12307" width="14.42578125" style="185" customWidth="1"/>
    <col min="12308" max="12308" width="14.85546875" style="185" bestFit="1" customWidth="1"/>
    <col min="12309" max="12309" width="10.85546875" style="185" bestFit="1" customWidth="1"/>
    <col min="12310" max="12544" width="9.140625" style="185"/>
    <col min="12545" max="12545" width="8.42578125" style="185" customWidth="1"/>
    <col min="12546" max="12546" width="14.42578125" style="185" customWidth="1"/>
    <col min="12547" max="12547" width="15.42578125" style="185" customWidth="1"/>
    <col min="12548" max="12548" width="16.42578125" style="185" customWidth="1"/>
    <col min="12549" max="12549" width="16.140625" style="185" customWidth="1"/>
    <col min="12550" max="12550" width="13.7109375" style="185" customWidth="1"/>
    <col min="12551" max="12551" width="18.85546875" style="185" customWidth="1"/>
    <col min="12552" max="12552" width="15.7109375" style="185" customWidth="1"/>
    <col min="12553" max="12554" width="16.5703125" style="185" customWidth="1"/>
    <col min="12555" max="12555" width="13.140625" style="185" bestFit="1" customWidth="1"/>
    <col min="12556" max="12556" width="13.42578125" style="185" customWidth="1"/>
    <col min="12557" max="12557" width="14.7109375" style="185" customWidth="1"/>
    <col min="12558" max="12558" width="14.7109375" style="185" bestFit="1" customWidth="1"/>
    <col min="12559" max="12563" width="14.42578125" style="185" customWidth="1"/>
    <col min="12564" max="12564" width="14.85546875" style="185" bestFit="1" customWidth="1"/>
    <col min="12565" max="12565" width="10.85546875" style="185" bestFit="1" customWidth="1"/>
    <col min="12566" max="12800" width="9.140625" style="185"/>
    <col min="12801" max="12801" width="8.42578125" style="185" customWidth="1"/>
    <col min="12802" max="12802" width="14.42578125" style="185" customWidth="1"/>
    <col min="12803" max="12803" width="15.42578125" style="185" customWidth="1"/>
    <col min="12804" max="12804" width="16.42578125" style="185" customWidth="1"/>
    <col min="12805" max="12805" width="16.140625" style="185" customWidth="1"/>
    <col min="12806" max="12806" width="13.7109375" style="185" customWidth="1"/>
    <col min="12807" max="12807" width="18.85546875" style="185" customWidth="1"/>
    <col min="12808" max="12808" width="15.7109375" style="185" customWidth="1"/>
    <col min="12809" max="12810" width="16.5703125" style="185" customWidth="1"/>
    <col min="12811" max="12811" width="13.140625" style="185" bestFit="1" customWidth="1"/>
    <col min="12812" max="12812" width="13.42578125" style="185" customWidth="1"/>
    <col min="12813" max="12813" width="14.7109375" style="185" customWidth="1"/>
    <col min="12814" max="12814" width="14.7109375" style="185" bestFit="1" customWidth="1"/>
    <col min="12815" max="12819" width="14.42578125" style="185" customWidth="1"/>
    <col min="12820" max="12820" width="14.85546875" style="185" bestFit="1" customWidth="1"/>
    <col min="12821" max="12821" width="10.85546875" style="185" bestFit="1" customWidth="1"/>
    <col min="12822" max="13056" width="9.140625" style="185"/>
    <col min="13057" max="13057" width="8.42578125" style="185" customWidth="1"/>
    <col min="13058" max="13058" width="14.42578125" style="185" customWidth="1"/>
    <col min="13059" max="13059" width="15.42578125" style="185" customWidth="1"/>
    <col min="13060" max="13060" width="16.42578125" style="185" customWidth="1"/>
    <col min="13061" max="13061" width="16.140625" style="185" customWidth="1"/>
    <col min="13062" max="13062" width="13.7109375" style="185" customWidth="1"/>
    <col min="13063" max="13063" width="18.85546875" style="185" customWidth="1"/>
    <col min="13064" max="13064" width="15.7109375" style="185" customWidth="1"/>
    <col min="13065" max="13066" width="16.5703125" style="185" customWidth="1"/>
    <col min="13067" max="13067" width="13.140625" style="185" bestFit="1" customWidth="1"/>
    <col min="13068" max="13068" width="13.42578125" style="185" customWidth="1"/>
    <col min="13069" max="13069" width="14.7109375" style="185" customWidth="1"/>
    <col min="13070" max="13070" width="14.7109375" style="185" bestFit="1" customWidth="1"/>
    <col min="13071" max="13075" width="14.42578125" style="185" customWidth="1"/>
    <col min="13076" max="13076" width="14.85546875" style="185" bestFit="1" customWidth="1"/>
    <col min="13077" max="13077" width="10.85546875" style="185" bestFit="1" customWidth="1"/>
    <col min="13078" max="13312" width="9.140625" style="185"/>
    <col min="13313" max="13313" width="8.42578125" style="185" customWidth="1"/>
    <col min="13314" max="13314" width="14.42578125" style="185" customWidth="1"/>
    <col min="13315" max="13315" width="15.42578125" style="185" customWidth="1"/>
    <col min="13316" max="13316" width="16.42578125" style="185" customWidth="1"/>
    <col min="13317" max="13317" width="16.140625" style="185" customWidth="1"/>
    <col min="13318" max="13318" width="13.7109375" style="185" customWidth="1"/>
    <col min="13319" max="13319" width="18.85546875" style="185" customWidth="1"/>
    <col min="13320" max="13320" width="15.7109375" style="185" customWidth="1"/>
    <col min="13321" max="13322" width="16.5703125" style="185" customWidth="1"/>
    <col min="13323" max="13323" width="13.140625" style="185" bestFit="1" customWidth="1"/>
    <col min="13324" max="13324" width="13.42578125" style="185" customWidth="1"/>
    <col min="13325" max="13325" width="14.7109375" style="185" customWidth="1"/>
    <col min="13326" max="13326" width="14.7109375" style="185" bestFit="1" customWidth="1"/>
    <col min="13327" max="13331" width="14.42578125" style="185" customWidth="1"/>
    <col min="13332" max="13332" width="14.85546875" style="185" bestFit="1" customWidth="1"/>
    <col min="13333" max="13333" width="10.85546875" style="185" bestFit="1" customWidth="1"/>
    <col min="13334" max="13568" width="9.140625" style="185"/>
    <col min="13569" max="13569" width="8.42578125" style="185" customWidth="1"/>
    <col min="13570" max="13570" width="14.42578125" style="185" customWidth="1"/>
    <col min="13571" max="13571" width="15.42578125" style="185" customWidth="1"/>
    <col min="13572" max="13572" width="16.42578125" style="185" customWidth="1"/>
    <col min="13573" max="13573" width="16.140625" style="185" customWidth="1"/>
    <col min="13574" max="13574" width="13.7109375" style="185" customWidth="1"/>
    <col min="13575" max="13575" width="18.85546875" style="185" customWidth="1"/>
    <col min="13576" max="13576" width="15.7109375" style="185" customWidth="1"/>
    <col min="13577" max="13578" width="16.5703125" style="185" customWidth="1"/>
    <col min="13579" max="13579" width="13.140625" style="185" bestFit="1" customWidth="1"/>
    <col min="13580" max="13580" width="13.42578125" style="185" customWidth="1"/>
    <col min="13581" max="13581" width="14.7109375" style="185" customWidth="1"/>
    <col min="13582" max="13582" width="14.7109375" style="185" bestFit="1" customWidth="1"/>
    <col min="13583" max="13587" width="14.42578125" style="185" customWidth="1"/>
    <col min="13588" max="13588" width="14.85546875" style="185" bestFit="1" customWidth="1"/>
    <col min="13589" max="13589" width="10.85546875" style="185" bestFit="1" customWidth="1"/>
    <col min="13590" max="13824" width="9.140625" style="185"/>
    <col min="13825" max="13825" width="8.42578125" style="185" customWidth="1"/>
    <col min="13826" max="13826" width="14.42578125" style="185" customWidth="1"/>
    <col min="13827" max="13827" width="15.42578125" style="185" customWidth="1"/>
    <col min="13828" max="13828" width="16.42578125" style="185" customWidth="1"/>
    <col min="13829" max="13829" width="16.140625" style="185" customWidth="1"/>
    <col min="13830" max="13830" width="13.7109375" style="185" customWidth="1"/>
    <col min="13831" max="13831" width="18.85546875" style="185" customWidth="1"/>
    <col min="13832" max="13832" width="15.7109375" style="185" customWidth="1"/>
    <col min="13833" max="13834" width="16.5703125" style="185" customWidth="1"/>
    <col min="13835" max="13835" width="13.140625" style="185" bestFit="1" customWidth="1"/>
    <col min="13836" max="13836" width="13.42578125" style="185" customWidth="1"/>
    <col min="13837" max="13837" width="14.7109375" style="185" customWidth="1"/>
    <col min="13838" max="13838" width="14.7109375" style="185" bestFit="1" customWidth="1"/>
    <col min="13839" max="13843" width="14.42578125" style="185" customWidth="1"/>
    <col min="13844" max="13844" width="14.85546875" style="185" bestFit="1" customWidth="1"/>
    <col min="13845" max="13845" width="10.85546875" style="185" bestFit="1" customWidth="1"/>
    <col min="13846" max="14080" width="9.140625" style="185"/>
    <col min="14081" max="14081" width="8.42578125" style="185" customWidth="1"/>
    <col min="14082" max="14082" width="14.42578125" style="185" customWidth="1"/>
    <col min="14083" max="14083" width="15.42578125" style="185" customWidth="1"/>
    <col min="14084" max="14084" width="16.42578125" style="185" customWidth="1"/>
    <col min="14085" max="14085" width="16.140625" style="185" customWidth="1"/>
    <col min="14086" max="14086" width="13.7109375" style="185" customWidth="1"/>
    <col min="14087" max="14087" width="18.85546875" style="185" customWidth="1"/>
    <col min="14088" max="14088" width="15.7109375" style="185" customWidth="1"/>
    <col min="14089" max="14090" width="16.5703125" style="185" customWidth="1"/>
    <col min="14091" max="14091" width="13.140625" style="185" bestFit="1" customWidth="1"/>
    <col min="14092" max="14092" width="13.42578125" style="185" customWidth="1"/>
    <col min="14093" max="14093" width="14.7109375" style="185" customWidth="1"/>
    <col min="14094" max="14094" width="14.7109375" style="185" bestFit="1" customWidth="1"/>
    <col min="14095" max="14099" width="14.42578125" style="185" customWidth="1"/>
    <col min="14100" max="14100" width="14.85546875" style="185" bestFit="1" customWidth="1"/>
    <col min="14101" max="14101" width="10.85546875" style="185" bestFit="1" customWidth="1"/>
    <col min="14102" max="14336" width="9.140625" style="185"/>
    <col min="14337" max="14337" width="8.42578125" style="185" customWidth="1"/>
    <col min="14338" max="14338" width="14.42578125" style="185" customWidth="1"/>
    <col min="14339" max="14339" width="15.42578125" style="185" customWidth="1"/>
    <col min="14340" max="14340" width="16.42578125" style="185" customWidth="1"/>
    <col min="14341" max="14341" width="16.140625" style="185" customWidth="1"/>
    <col min="14342" max="14342" width="13.7109375" style="185" customWidth="1"/>
    <col min="14343" max="14343" width="18.85546875" style="185" customWidth="1"/>
    <col min="14344" max="14344" width="15.7109375" style="185" customWidth="1"/>
    <col min="14345" max="14346" width="16.5703125" style="185" customWidth="1"/>
    <col min="14347" max="14347" width="13.140625" style="185" bestFit="1" customWidth="1"/>
    <col min="14348" max="14348" width="13.42578125" style="185" customWidth="1"/>
    <col min="14349" max="14349" width="14.7109375" style="185" customWidth="1"/>
    <col min="14350" max="14350" width="14.7109375" style="185" bestFit="1" customWidth="1"/>
    <col min="14351" max="14355" width="14.42578125" style="185" customWidth="1"/>
    <col min="14356" max="14356" width="14.85546875" style="185" bestFit="1" customWidth="1"/>
    <col min="14357" max="14357" width="10.85546875" style="185" bestFit="1" customWidth="1"/>
    <col min="14358" max="14592" width="9.140625" style="185"/>
    <col min="14593" max="14593" width="8.42578125" style="185" customWidth="1"/>
    <col min="14594" max="14594" width="14.42578125" style="185" customWidth="1"/>
    <col min="14595" max="14595" width="15.42578125" style="185" customWidth="1"/>
    <col min="14596" max="14596" width="16.42578125" style="185" customWidth="1"/>
    <col min="14597" max="14597" width="16.140625" style="185" customWidth="1"/>
    <col min="14598" max="14598" width="13.7109375" style="185" customWidth="1"/>
    <col min="14599" max="14599" width="18.85546875" style="185" customWidth="1"/>
    <col min="14600" max="14600" width="15.7109375" style="185" customWidth="1"/>
    <col min="14601" max="14602" width="16.5703125" style="185" customWidth="1"/>
    <col min="14603" max="14603" width="13.140625" style="185" bestFit="1" customWidth="1"/>
    <col min="14604" max="14604" width="13.42578125" style="185" customWidth="1"/>
    <col min="14605" max="14605" width="14.7109375" style="185" customWidth="1"/>
    <col min="14606" max="14606" width="14.7109375" style="185" bestFit="1" customWidth="1"/>
    <col min="14607" max="14611" width="14.42578125" style="185" customWidth="1"/>
    <col min="14612" max="14612" width="14.85546875" style="185" bestFit="1" customWidth="1"/>
    <col min="14613" max="14613" width="10.85546875" style="185" bestFit="1" customWidth="1"/>
    <col min="14614" max="14848" width="9.140625" style="185"/>
    <col min="14849" max="14849" width="8.42578125" style="185" customWidth="1"/>
    <col min="14850" max="14850" width="14.42578125" style="185" customWidth="1"/>
    <col min="14851" max="14851" width="15.42578125" style="185" customWidth="1"/>
    <col min="14852" max="14852" width="16.42578125" style="185" customWidth="1"/>
    <col min="14853" max="14853" width="16.140625" style="185" customWidth="1"/>
    <col min="14854" max="14854" width="13.7109375" style="185" customWidth="1"/>
    <col min="14855" max="14855" width="18.85546875" style="185" customWidth="1"/>
    <col min="14856" max="14856" width="15.7109375" style="185" customWidth="1"/>
    <col min="14857" max="14858" width="16.5703125" style="185" customWidth="1"/>
    <col min="14859" max="14859" width="13.140625" style="185" bestFit="1" customWidth="1"/>
    <col min="14860" max="14860" width="13.42578125" style="185" customWidth="1"/>
    <col min="14861" max="14861" width="14.7109375" style="185" customWidth="1"/>
    <col min="14862" max="14862" width="14.7109375" style="185" bestFit="1" customWidth="1"/>
    <col min="14863" max="14867" width="14.42578125" style="185" customWidth="1"/>
    <col min="14868" max="14868" width="14.85546875" style="185" bestFit="1" customWidth="1"/>
    <col min="14869" max="14869" width="10.85546875" style="185" bestFit="1" customWidth="1"/>
    <col min="14870" max="15104" width="9.140625" style="185"/>
    <col min="15105" max="15105" width="8.42578125" style="185" customWidth="1"/>
    <col min="15106" max="15106" width="14.42578125" style="185" customWidth="1"/>
    <col min="15107" max="15107" width="15.42578125" style="185" customWidth="1"/>
    <col min="15108" max="15108" width="16.42578125" style="185" customWidth="1"/>
    <col min="15109" max="15109" width="16.140625" style="185" customWidth="1"/>
    <col min="15110" max="15110" width="13.7109375" style="185" customWidth="1"/>
    <col min="15111" max="15111" width="18.85546875" style="185" customWidth="1"/>
    <col min="15112" max="15112" width="15.7109375" style="185" customWidth="1"/>
    <col min="15113" max="15114" width="16.5703125" style="185" customWidth="1"/>
    <col min="15115" max="15115" width="13.140625" style="185" bestFit="1" customWidth="1"/>
    <col min="15116" max="15116" width="13.42578125" style="185" customWidth="1"/>
    <col min="15117" max="15117" width="14.7109375" style="185" customWidth="1"/>
    <col min="15118" max="15118" width="14.7109375" style="185" bestFit="1" customWidth="1"/>
    <col min="15119" max="15123" width="14.42578125" style="185" customWidth="1"/>
    <col min="15124" max="15124" width="14.85546875" style="185" bestFit="1" customWidth="1"/>
    <col min="15125" max="15125" width="10.85546875" style="185" bestFit="1" customWidth="1"/>
    <col min="15126" max="15360" width="9.140625" style="185"/>
    <col min="15361" max="15361" width="8.42578125" style="185" customWidth="1"/>
    <col min="15362" max="15362" width="14.42578125" style="185" customWidth="1"/>
    <col min="15363" max="15363" width="15.42578125" style="185" customWidth="1"/>
    <col min="15364" max="15364" width="16.42578125" style="185" customWidth="1"/>
    <col min="15365" max="15365" width="16.140625" style="185" customWidth="1"/>
    <col min="15366" max="15366" width="13.7109375" style="185" customWidth="1"/>
    <col min="15367" max="15367" width="18.85546875" style="185" customWidth="1"/>
    <col min="15368" max="15368" width="15.7109375" style="185" customWidth="1"/>
    <col min="15369" max="15370" width="16.5703125" style="185" customWidth="1"/>
    <col min="15371" max="15371" width="13.140625" style="185" bestFit="1" customWidth="1"/>
    <col min="15372" max="15372" width="13.42578125" style="185" customWidth="1"/>
    <col min="15373" max="15373" width="14.7109375" style="185" customWidth="1"/>
    <col min="15374" max="15374" width="14.7109375" style="185" bestFit="1" customWidth="1"/>
    <col min="15375" max="15379" width="14.42578125" style="185" customWidth="1"/>
    <col min="15380" max="15380" width="14.85546875" style="185" bestFit="1" customWidth="1"/>
    <col min="15381" max="15381" width="10.85546875" style="185" bestFit="1" customWidth="1"/>
    <col min="15382" max="15616" width="9.140625" style="185"/>
    <col min="15617" max="15617" width="8.42578125" style="185" customWidth="1"/>
    <col min="15618" max="15618" width="14.42578125" style="185" customWidth="1"/>
    <col min="15619" max="15619" width="15.42578125" style="185" customWidth="1"/>
    <col min="15620" max="15620" width="16.42578125" style="185" customWidth="1"/>
    <col min="15621" max="15621" width="16.140625" style="185" customWidth="1"/>
    <col min="15622" max="15622" width="13.7109375" style="185" customWidth="1"/>
    <col min="15623" max="15623" width="18.85546875" style="185" customWidth="1"/>
    <col min="15624" max="15624" width="15.7109375" style="185" customWidth="1"/>
    <col min="15625" max="15626" width="16.5703125" style="185" customWidth="1"/>
    <col min="15627" max="15627" width="13.140625" style="185" bestFit="1" customWidth="1"/>
    <col min="15628" max="15628" width="13.42578125" style="185" customWidth="1"/>
    <col min="15629" max="15629" width="14.7109375" style="185" customWidth="1"/>
    <col min="15630" max="15630" width="14.7109375" style="185" bestFit="1" customWidth="1"/>
    <col min="15631" max="15635" width="14.42578125" style="185" customWidth="1"/>
    <col min="15636" max="15636" width="14.85546875" style="185" bestFit="1" customWidth="1"/>
    <col min="15637" max="15637" width="10.85546875" style="185" bestFit="1" customWidth="1"/>
    <col min="15638" max="15872" width="9.140625" style="185"/>
    <col min="15873" max="15873" width="8.42578125" style="185" customWidth="1"/>
    <col min="15874" max="15874" width="14.42578125" style="185" customWidth="1"/>
    <col min="15875" max="15875" width="15.42578125" style="185" customWidth="1"/>
    <col min="15876" max="15876" width="16.42578125" style="185" customWidth="1"/>
    <col min="15877" max="15877" width="16.140625" style="185" customWidth="1"/>
    <col min="15878" max="15878" width="13.7109375" style="185" customWidth="1"/>
    <col min="15879" max="15879" width="18.85546875" style="185" customWidth="1"/>
    <col min="15880" max="15880" width="15.7109375" style="185" customWidth="1"/>
    <col min="15881" max="15882" width="16.5703125" style="185" customWidth="1"/>
    <col min="15883" max="15883" width="13.140625" style="185" bestFit="1" customWidth="1"/>
    <col min="15884" max="15884" width="13.42578125" style="185" customWidth="1"/>
    <col min="15885" max="15885" width="14.7109375" style="185" customWidth="1"/>
    <col min="15886" max="15886" width="14.7109375" style="185" bestFit="1" customWidth="1"/>
    <col min="15887" max="15891" width="14.42578125" style="185" customWidth="1"/>
    <col min="15892" max="15892" width="14.85546875" style="185" bestFit="1" customWidth="1"/>
    <col min="15893" max="15893" width="10.85546875" style="185" bestFit="1" customWidth="1"/>
    <col min="15894" max="16128" width="9.140625" style="185"/>
    <col min="16129" max="16129" width="8.42578125" style="185" customWidth="1"/>
    <col min="16130" max="16130" width="14.42578125" style="185" customWidth="1"/>
    <col min="16131" max="16131" width="15.42578125" style="185" customWidth="1"/>
    <col min="16132" max="16132" width="16.42578125" style="185" customWidth="1"/>
    <col min="16133" max="16133" width="16.140625" style="185" customWidth="1"/>
    <col min="16134" max="16134" width="13.7109375" style="185" customWidth="1"/>
    <col min="16135" max="16135" width="18.85546875" style="185" customWidth="1"/>
    <col min="16136" max="16136" width="15.7109375" style="185" customWidth="1"/>
    <col min="16137" max="16138" width="16.5703125" style="185" customWidth="1"/>
    <col min="16139" max="16139" width="13.140625" style="185" bestFit="1" customWidth="1"/>
    <col min="16140" max="16140" width="13.42578125" style="185" customWidth="1"/>
    <col min="16141" max="16141" width="14.7109375" style="185" customWidth="1"/>
    <col min="16142" max="16142" width="14.7109375" style="185" bestFit="1" customWidth="1"/>
    <col min="16143" max="16147" width="14.42578125" style="185" customWidth="1"/>
    <col min="16148" max="16148" width="14.85546875" style="185" bestFit="1" customWidth="1"/>
    <col min="16149" max="16149" width="10.85546875" style="185" bestFit="1" customWidth="1"/>
    <col min="16150" max="16384" width="9.140625" style="185"/>
  </cols>
  <sheetData>
    <row r="1" spans="1:10" ht="18" customHeight="1" x14ac:dyDescent="0.2">
      <c r="A1" s="545" t="s">
        <v>210</v>
      </c>
      <c r="B1" s="545"/>
      <c r="C1" s="545"/>
      <c r="D1" s="545"/>
      <c r="E1" s="545"/>
      <c r="F1" s="545"/>
      <c r="G1" s="545"/>
      <c r="H1" s="545"/>
      <c r="I1" s="545"/>
      <c r="J1" s="545"/>
    </row>
    <row r="2" spans="1:10" x14ac:dyDescent="0.2">
      <c r="A2" s="186"/>
      <c r="B2" s="187"/>
      <c r="C2" s="188"/>
      <c r="D2" s="188"/>
      <c r="E2" s="189"/>
      <c r="F2" s="189"/>
    </row>
    <row r="3" spans="1:10" x14ac:dyDescent="0.2">
      <c r="A3" s="186" t="s">
        <v>211</v>
      </c>
      <c r="B3" s="546" t="s">
        <v>242</v>
      </c>
      <c r="C3" s="546"/>
      <c r="D3" s="546"/>
      <c r="E3" s="546"/>
      <c r="F3" s="546"/>
      <c r="G3" s="546"/>
      <c r="H3" s="546"/>
      <c r="I3" s="546"/>
      <c r="J3" s="191"/>
    </row>
    <row r="4" spans="1:10" x14ac:dyDescent="0.2">
      <c r="A4" s="192"/>
      <c r="B4" s="546"/>
      <c r="C4" s="546"/>
      <c r="D4" s="546"/>
      <c r="E4" s="546"/>
      <c r="F4" s="546"/>
      <c r="G4" s="546"/>
      <c r="H4" s="546"/>
      <c r="I4" s="546"/>
      <c r="J4" s="191"/>
    </row>
    <row r="5" spans="1:10" ht="15" customHeight="1" x14ac:dyDescent="0.2">
      <c r="A5" s="547" t="str">
        <f>CONCATENATE("PLAZO: ",A42," MESES (",A43,")")</f>
        <v>PLAZO: 24 MESES (720 dias)</v>
      </c>
      <c r="B5" s="547"/>
      <c r="C5" s="547"/>
      <c r="E5" s="194" t="s">
        <v>212</v>
      </c>
    </row>
    <row r="7" spans="1:10" x14ac:dyDescent="0.2">
      <c r="C7" s="196" t="s">
        <v>214</v>
      </c>
      <c r="D7" s="548"/>
      <c r="E7" s="548"/>
      <c r="F7" s="548"/>
      <c r="H7" s="196" t="s">
        <v>215</v>
      </c>
      <c r="I7" s="197">
        <f ca="1">NOW()</f>
        <v>42618.498752893516</v>
      </c>
    </row>
    <row r="8" spans="1:10" x14ac:dyDescent="0.2">
      <c r="C8" s="196" t="str">
        <f>IF(D7=0,"MONTO ESTIMADO CON IVA:","MONTO DE CONTRATO CON IVA:")</f>
        <v>MONTO ESTIMADO CON IVA:</v>
      </c>
      <c r="D8" s="198">
        <f>+'3. PEP'!G29</f>
        <v>30500000</v>
      </c>
      <c r="E8" s="199" t="s">
        <v>216</v>
      </c>
      <c r="F8" s="185" t="s">
        <v>217</v>
      </c>
      <c r="H8" s="190" t="s">
        <v>218</v>
      </c>
      <c r="I8" s="200">
        <v>1</v>
      </c>
    </row>
    <row r="9" spans="1:10" hidden="1" x14ac:dyDescent="0.2">
      <c r="C9" s="196"/>
      <c r="D9" s="198"/>
      <c r="E9" s="193" t="s">
        <v>219</v>
      </c>
      <c r="I9" s="201"/>
    </row>
    <row r="10" spans="1:10" hidden="1" x14ac:dyDescent="0.2">
      <c r="C10" s="196"/>
      <c r="D10" s="198"/>
      <c r="E10" s="193" t="s">
        <v>216</v>
      </c>
      <c r="I10" s="201"/>
    </row>
    <row r="11" spans="1:10" x14ac:dyDescent="0.2">
      <c r="B11" s="185"/>
      <c r="C11" s="196" t="str">
        <f>IF(D7=0,"MONTO ESTIMADO SIN IVA:","MONTO DE CONTRATO SIN IVA:")</f>
        <v>MONTO ESTIMADO SIN IVA:</v>
      </c>
      <c r="D11" s="202">
        <f>D8</f>
        <v>30500000</v>
      </c>
      <c r="E11" s="203" t="s">
        <v>219</v>
      </c>
      <c r="F11" s="193"/>
    </row>
    <row r="12" spans="1:10" x14ac:dyDescent="0.2">
      <c r="B12" s="185"/>
      <c r="C12" s="196" t="s">
        <v>220</v>
      </c>
      <c r="D12" s="200">
        <v>100</v>
      </c>
      <c r="F12" s="193" t="s">
        <v>221</v>
      </c>
    </row>
    <row r="13" spans="1:10" x14ac:dyDescent="0.2">
      <c r="B13" s="185"/>
      <c r="C13" s="196" t="s">
        <v>222</v>
      </c>
      <c r="D13" s="204">
        <f>100-D12</f>
        <v>0</v>
      </c>
      <c r="F13" s="193"/>
    </row>
    <row r="14" spans="1:10" x14ac:dyDescent="0.2">
      <c r="B14" s="185"/>
      <c r="C14" s="196" t="s">
        <v>223</v>
      </c>
      <c r="D14" s="201">
        <v>20</v>
      </c>
      <c r="F14" s="193"/>
    </row>
    <row r="15" spans="1:10" x14ac:dyDescent="0.2">
      <c r="B15" s="196" t="s">
        <v>224</v>
      </c>
      <c r="C15" s="549"/>
      <c r="D15" s="549"/>
      <c r="E15" s="205" t="s">
        <v>225</v>
      </c>
      <c r="F15" s="206"/>
      <c r="H15" s="207" t="s">
        <v>226</v>
      </c>
      <c r="I15" s="200">
        <v>10</v>
      </c>
    </row>
    <row r="16" spans="1:10" ht="12.75" thickBot="1" x14ac:dyDescent="0.25">
      <c r="F16" s="208"/>
    </row>
    <row r="17" spans="1:11" ht="42" customHeight="1" thickBot="1" x14ac:dyDescent="0.25">
      <c r="A17" s="209" t="s">
        <v>227</v>
      </c>
      <c r="B17" s="210" t="s">
        <v>228</v>
      </c>
      <c r="C17" s="210" t="s">
        <v>229</v>
      </c>
      <c r="D17" s="211" t="str">
        <f>CONCATENATE("MONTO MENSUAL DESCONTADO ",ROUND(D14,0),"% ANTICIPO")</f>
        <v>MONTO MENSUAL DESCONTADO 20% ANTICIPO</v>
      </c>
      <c r="E17" s="212" t="s">
        <v>230</v>
      </c>
      <c r="F17" s="213" t="s">
        <v>231</v>
      </c>
      <c r="G17" s="214" t="s">
        <v>232</v>
      </c>
      <c r="H17" s="215" t="s">
        <v>233</v>
      </c>
      <c r="I17" s="216" t="str">
        <f>CONCATENATE("DESEMBOLSOS FONDO LOCAL (",ROUND(D13,0),"%) + IVA")</f>
        <v>DESEMBOLSOS FONDO LOCAL (0%) + IVA</v>
      </c>
      <c r="J17" s="216" t="str">
        <f>CONCATENATE("DESEMBOLSOS FONDO EXTERNO (",ROUND(D12,0),"%)")</f>
        <v>DESEMBOLSOS FONDO EXTERNO (100%)</v>
      </c>
    </row>
    <row r="18" spans="1:11" ht="12.75" customHeight="1" x14ac:dyDescent="0.2">
      <c r="A18" s="217">
        <v>0</v>
      </c>
      <c r="B18" s="218">
        <f>D14/100</f>
        <v>0.2</v>
      </c>
      <c r="C18" s="218">
        <v>0</v>
      </c>
      <c r="D18" s="219">
        <f>ROUND(B18*D11,0)</f>
        <v>6100000</v>
      </c>
      <c r="E18" s="220">
        <f>D18</f>
        <v>6100000</v>
      </c>
      <c r="F18" s="221">
        <f>E18/$E$42</f>
        <v>0.2</v>
      </c>
      <c r="G18" s="222" t="s">
        <v>234</v>
      </c>
      <c r="H18" s="223">
        <f t="shared" ref="H18:H33" si="0">ROUND(D18*0.1,0)</f>
        <v>610000</v>
      </c>
      <c r="I18" s="224">
        <f t="shared" ref="I18:I42" si="1">ROUNDUP((D18+H18-J18),-(LEN(D18)-$I$15))</f>
        <v>610000</v>
      </c>
      <c r="J18" s="224">
        <f t="shared" ref="J18:J33" si="2">ROUNDUP(D18*$D$12/100,-(LEN(D18)-$I$15))</f>
        <v>6100000</v>
      </c>
    </row>
    <row r="19" spans="1:11" ht="12.75" thickBot="1" x14ac:dyDescent="0.25">
      <c r="A19" s="225">
        <v>1</v>
      </c>
      <c r="B19" s="226">
        <v>2.5000000000000001E-2</v>
      </c>
      <c r="C19" s="226">
        <f t="shared" ref="C19:C42" si="3">B19+C18</f>
        <v>2.5000000000000001E-2</v>
      </c>
      <c r="D19" s="227">
        <f>ROUND(B19*$D$11*(100-$D$14)/100,0)</f>
        <v>610000</v>
      </c>
      <c r="E19" s="228">
        <f t="shared" ref="E19:E33" si="4">E18+D19</f>
        <v>6710000</v>
      </c>
      <c r="F19" s="229">
        <f>E19/$E$42</f>
        <v>0.22</v>
      </c>
      <c r="G19" s="230" t="s">
        <v>124</v>
      </c>
      <c r="H19" s="231">
        <f t="shared" si="0"/>
        <v>61000</v>
      </c>
      <c r="I19" s="232">
        <f t="shared" si="1"/>
        <v>61000</v>
      </c>
      <c r="J19" s="232">
        <f t="shared" si="2"/>
        <v>610000</v>
      </c>
    </row>
    <row r="20" spans="1:11" x14ac:dyDescent="0.2">
      <c r="A20" s="225">
        <v>2</v>
      </c>
      <c r="B20" s="226">
        <v>0.03</v>
      </c>
      <c r="C20" s="226">
        <f t="shared" si="3"/>
        <v>5.5E-2</v>
      </c>
      <c r="D20" s="227">
        <f t="shared" ref="D20:D42" si="5">ROUND(B20*$D$11*(100-$D$14)/100,0)</f>
        <v>732000</v>
      </c>
      <c r="E20" s="228">
        <f t="shared" si="4"/>
        <v>7442000</v>
      </c>
      <c r="F20" s="221">
        <f t="shared" ref="F20:F42" si="6">E20/$E$42</f>
        <v>0.24399999999999999</v>
      </c>
      <c r="G20" s="230" t="s">
        <v>125</v>
      </c>
      <c r="H20" s="231">
        <f t="shared" si="0"/>
        <v>73200</v>
      </c>
      <c r="I20" s="232">
        <f t="shared" si="1"/>
        <v>73200</v>
      </c>
      <c r="J20" s="232">
        <f t="shared" si="2"/>
        <v>732000</v>
      </c>
      <c r="K20" s="233">
        <f>+SUM(J18:J20)</f>
        <v>7442000</v>
      </c>
    </row>
    <row r="21" spans="1:11" ht="12.75" thickBot="1" x14ac:dyDescent="0.25">
      <c r="A21" s="225">
        <v>3</v>
      </c>
      <c r="B21" s="226">
        <v>3.5000000000000003E-2</v>
      </c>
      <c r="C21" s="226">
        <f>B21+C20</f>
        <v>0.09</v>
      </c>
      <c r="D21" s="227">
        <f t="shared" si="5"/>
        <v>854000</v>
      </c>
      <c r="E21" s="228">
        <f t="shared" si="4"/>
        <v>8296000</v>
      </c>
      <c r="F21" s="229">
        <f t="shared" si="6"/>
        <v>0.27200000000000002</v>
      </c>
      <c r="G21" s="230" t="s">
        <v>126</v>
      </c>
      <c r="H21" s="231">
        <f t="shared" si="0"/>
        <v>85400</v>
      </c>
      <c r="I21" s="232">
        <f t="shared" si="1"/>
        <v>85400</v>
      </c>
      <c r="J21" s="232">
        <f t="shared" si="2"/>
        <v>854000</v>
      </c>
    </row>
    <row r="22" spans="1:11" x14ac:dyDescent="0.2">
      <c r="A22" s="225">
        <v>4</v>
      </c>
      <c r="B22" s="226">
        <v>3.5000000000000003E-2</v>
      </c>
      <c r="C22" s="226">
        <f t="shared" si="3"/>
        <v>0.125</v>
      </c>
      <c r="D22" s="227">
        <f t="shared" si="5"/>
        <v>854000</v>
      </c>
      <c r="E22" s="228">
        <f t="shared" si="4"/>
        <v>9150000</v>
      </c>
      <c r="F22" s="221">
        <f t="shared" si="6"/>
        <v>0.3</v>
      </c>
      <c r="G22" s="230" t="s">
        <v>127</v>
      </c>
      <c r="H22" s="231">
        <f t="shared" si="0"/>
        <v>85400</v>
      </c>
      <c r="I22" s="232">
        <f t="shared" si="1"/>
        <v>85400</v>
      </c>
      <c r="J22" s="232">
        <f t="shared" si="2"/>
        <v>854000</v>
      </c>
      <c r="K22" s="234"/>
    </row>
    <row r="23" spans="1:11" ht="12.75" thickBot="1" x14ac:dyDescent="0.25">
      <c r="A23" s="225">
        <v>5</v>
      </c>
      <c r="B23" s="226">
        <v>0.04</v>
      </c>
      <c r="C23" s="226">
        <f t="shared" si="3"/>
        <v>0.16500000000000001</v>
      </c>
      <c r="D23" s="227">
        <f t="shared" si="5"/>
        <v>976000</v>
      </c>
      <c r="E23" s="228">
        <f t="shared" si="4"/>
        <v>10126000</v>
      </c>
      <c r="F23" s="229">
        <f t="shared" si="6"/>
        <v>0.33200000000000002</v>
      </c>
      <c r="G23" s="230" t="s">
        <v>128</v>
      </c>
      <c r="H23" s="231">
        <f t="shared" si="0"/>
        <v>97600</v>
      </c>
      <c r="I23" s="232">
        <f t="shared" si="1"/>
        <v>97600</v>
      </c>
      <c r="J23" s="232">
        <f t="shared" si="2"/>
        <v>976000</v>
      </c>
      <c r="K23" s="234"/>
    </row>
    <row r="24" spans="1:11" x14ac:dyDescent="0.2">
      <c r="A24" s="225">
        <v>6</v>
      </c>
      <c r="B24" s="226">
        <v>4.4999999999999998E-2</v>
      </c>
      <c r="C24" s="226">
        <f t="shared" si="3"/>
        <v>0.21000000000000002</v>
      </c>
      <c r="D24" s="227">
        <f t="shared" si="5"/>
        <v>1098000</v>
      </c>
      <c r="E24" s="228">
        <f t="shared" si="4"/>
        <v>11224000</v>
      </c>
      <c r="F24" s="221">
        <f t="shared" si="6"/>
        <v>0.36799999999999999</v>
      </c>
      <c r="G24" s="230" t="s">
        <v>129</v>
      </c>
      <c r="H24" s="231">
        <f t="shared" si="0"/>
        <v>109800</v>
      </c>
      <c r="I24" s="232">
        <f t="shared" si="1"/>
        <v>109800</v>
      </c>
      <c r="J24" s="232">
        <f t="shared" si="2"/>
        <v>1098000</v>
      </c>
      <c r="K24" s="234"/>
    </row>
    <row r="25" spans="1:11" ht="12.75" thickBot="1" x14ac:dyDescent="0.25">
      <c r="A25" s="225">
        <v>7</v>
      </c>
      <c r="B25" s="226">
        <v>4.4999999999999998E-2</v>
      </c>
      <c r="C25" s="226">
        <f t="shared" si="3"/>
        <v>0.255</v>
      </c>
      <c r="D25" s="227">
        <f t="shared" si="5"/>
        <v>1098000</v>
      </c>
      <c r="E25" s="228">
        <f t="shared" si="4"/>
        <v>12322000</v>
      </c>
      <c r="F25" s="229">
        <f t="shared" si="6"/>
        <v>0.40400000000000003</v>
      </c>
      <c r="G25" s="230" t="s">
        <v>130</v>
      </c>
      <c r="H25" s="231">
        <f t="shared" si="0"/>
        <v>109800</v>
      </c>
      <c r="I25" s="232">
        <f t="shared" si="1"/>
        <v>109800</v>
      </c>
      <c r="J25" s="232">
        <f t="shared" si="2"/>
        <v>1098000</v>
      </c>
      <c r="K25" s="235"/>
    </row>
    <row r="26" spans="1:11" x14ac:dyDescent="0.2">
      <c r="A26" s="225">
        <v>8</v>
      </c>
      <c r="B26" s="226">
        <v>0.05</v>
      </c>
      <c r="C26" s="226">
        <f t="shared" si="3"/>
        <v>0.30499999999999999</v>
      </c>
      <c r="D26" s="227">
        <f t="shared" si="5"/>
        <v>1220000</v>
      </c>
      <c r="E26" s="228">
        <f t="shared" si="4"/>
        <v>13542000</v>
      </c>
      <c r="F26" s="221">
        <f t="shared" si="6"/>
        <v>0.44400000000000001</v>
      </c>
      <c r="G26" s="230" t="s">
        <v>131</v>
      </c>
      <c r="H26" s="231">
        <f t="shared" si="0"/>
        <v>122000</v>
      </c>
      <c r="I26" s="232">
        <f t="shared" si="1"/>
        <v>122000</v>
      </c>
      <c r="J26" s="232">
        <f t="shared" si="2"/>
        <v>1220000</v>
      </c>
      <c r="K26" s="234"/>
    </row>
    <row r="27" spans="1:11" ht="12.75" thickBot="1" x14ac:dyDescent="0.25">
      <c r="A27" s="225">
        <v>9</v>
      </c>
      <c r="B27" s="226">
        <v>5.5E-2</v>
      </c>
      <c r="C27" s="226">
        <f t="shared" si="3"/>
        <v>0.36</v>
      </c>
      <c r="D27" s="227">
        <f t="shared" si="5"/>
        <v>1342000</v>
      </c>
      <c r="E27" s="228">
        <f t="shared" si="4"/>
        <v>14884000</v>
      </c>
      <c r="F27" s="229">
        <f t="shared" si="6"/>
        <v>0.48799999999999999</v>
      </c>
      <c r="G27" s="230" t="s">
        <v>132</v>
      </c>
      <c r="H27" s="231">
        <f t="shared" si="0"/>
        <v>134200</v>
      </c>
      <c r="I27" s="232">
        <f t="shared" si="1"/>
        <v>134200</v>
      </c>
      <c r="J27" s="232">
        <f t="shared" si="2"/>
        <v>1342000</v>
      </c>
      <c r="K27" s="234"/>
    </row>
    <row r="28" spans="1:11" x14ac:dyDescent="0.2">
      <c r="A28" s="225">
        <v>10</v>
      </c>
      <c r="B28" s="226">
        <v>5.5E-2</v>
      </c>
      <c r="C28" s="226">
        <f t="shared" si="3"/>
        <v>0.41499999999999998</v>
      </c>
      <c r="D28" s="227">
        <f t="shared" si="5"/>
        <v>1342000</v>
      </c>
      <c r="E28" s="228">
        <f t="shared" si="4"/>
        <v>16226000</v>
      </c>
      <c r="F28" s="221">
        <f t="shared" si="6"/>
        <v>0.53200000000000003</v>
      </c>
      <c r="G28" s="230" t="s">
        <v>133</v>
      </c>
      <c r="H28" s="231">
        <f t="shared" si="0"/>
        <v>134200</v>
      </c>
      <c r="I28" s="232">
        <f t="shared" si="1"/>
        <v>134200</v>
      </c>
      <c r="J28" s="232">
        <f t="shared" si="2"/>
        <v>1342000</v>
      </c>
      <c r="K28" s="234"/>
    </row>
    <row r="29" spans="1:11" ht="12.75" thickBot="1" x14ac:dyDescent="0.25">
      <c r="A29" s="225">
        <v>11</v>
      </c>
      <c r="B29" s="226">
        <v>5.5E-2</v>
      </c>
      <c r="C29" s="226">
        <f t="shared" si="3"/>
        <v>0.47</v>
      </c>
      <c r="D29" s="227">
        <f t="shared" si="5"/>
        <v>1342000</v>
      </c>
      <c r="E29" s="228">
        <f t="shared" si="4"/>
        <v>17568000</v>
      </c>
      <c r="F29" s="229">
        <f t="shared" si="6"/>
        <v>0.57599999999999996</v>
      </c>
      <c r="G29" s="230" t="s">
        <v>134</v>
      </c>
      <c r="H29" s="231">
        <f t="shared" si="0"/>
        <v>134200</v>
      </c>
      <c r="I29" s="232">
        <f t="shared" si="1"/>
        <v>134200</v>
      </c>
      <c r="J29" s="232">
        <f t="shared" si="2"/>
        <v>1342000</v>
      </c>
      <c r="K29" s="234"/>
    </row>
    <row r="30" spans="1:11" x14ac:dyDescent="0.2">
      <c r="A30" s="225">
        <v>12</v>
      </c>
      <c r="B30" s="226">
        <v>0.06</v>
      </c>
      <c r="C30" s="226">
        <f t="shared" si="3"/>
        <v>0.53</v>
      </c>
      <c r="D30" s="227">
        <f t="shared" si="5"/>
        <v>1464000</v>
      </c>
      <c r="E30" s="228">
        <f t="shared" si="4"/>
        <v>19032000</v>
      </c>
      <c r="F30" s="221">
        <f t="shared" si="6"/>
        <v>0.624</v>
      </c>
      <c r="G30" s="230" t="s">
        <v>135</v>
      </c>
      <c r="H30" s="231">
        <f t="shared" si="0"/>
        <v>146400</v>
      </c>
      <c r="I30" s="232">
        <f t="shared" si="1"/>
        <v>146400</v>
      </c>
      <c r="J30" s="232">
        <f t="shared" si="2"/>
        <v>1464000</v>
      </c>
      <c r="K30" s="234"/>
    </row>
    <row r="31" spans="1:11" ht="12.75" thickBot="1" x14ac:dyDescent="0.25">
      <c r="A31" s="225">
        <v>13</v>
      </c>
      <c r="B31" s="226">
        <v>7.0000000000000007E-2</v>
      </c>
      <c r="C31" s="226">
        <f t="shared" si="3"/>
        <v>0.60000000000000009</v>
      </c>
      <c r="D31" s="227">
        <f t="shared" si="5"/>
        <v>1708000</v>
      </c>
      <c r="E31" s="228">
        <f t="shared" si="4"/>
        <v>20740000</v>
      </c>
      <c r="F31" s="229">
        <f t="shared" si="6"/>
        <v>0.68</v>
      </c>
      <c r="G31" s="230" t="s">
        <v>136</v>
      </c>
      <c r="H31" s="231">
        <f t="shared" si="0"/>
        <v>170800</v>
      </c>
      <c r="I31" s="232">
        <f t="shared" si="1"/>
        <v>170800</v>
      </c>
      <c r="J31" s="232">
        <f t="shared" si="2"/>
        <v>1708000</v>
      </c>
      <c r="K31" s="234"/>
    </row>
    <row r="32" spans="1:11" x14ac:dyDescent="0.2">
      <c r="A32" s="225">
        <v>14</v>
      </c>
      <c r="B32" s="226">
        <v>7.0000000000000007E-2</v>
      </c>
      <c r="C32" s="226">
        <f t="shared" si="3"/>
        <v>0.67000000000000015</v>
      </c>
      <c r="D32" s="227">
        <f t="shared" si="5"/>
        <v>1708000</v>
      </c>
      <c r="E32" s="228">
        <f t="shared" si="4"/>
        <v>22448000</v>
      </c>
      <c r="F32" s="221">
        <f t="shared" si="6"/>
        <v>0.73599999999999999</v>
      </c>
      <c r="G32" s="230" t="s">
        <v>137</v>
      </c>
      <c r="H32" s="231">
        <f t="shared" si="0"/>
        <v>170800</v>
      </c>
      <c r="I32" s="232">
        <f t="shared" si="1"/>
        <v>170800</v>
      </c>
      <c r="J32" s="232">
        <f t="shared" si="2"/>
        <v>1708000</v>
      </c>
      <c r="K32" s="236">
        <f>+SUM(J21:J32)</f>
        <v>15006000</v>
      </c>
    </row>
    <row r="33" spans="1:11" ht="12.75" thickBot="1" x14ac:dyDescent="0.25">
      <c r="A33" s="225">
        <v>15</v>
      </c>
      <c r="B33" s="226">
        <v>6.5000000000000002E-2</v>
      </c>
      <c r="C33" s="226">
        <f t="shared" si="3"/>
        <v>0.7350000000000001</v>
      </c>
      <c r="D33" s="227">
        <f t="shared" si="5"/>
        <v>1586000</v>
      </c>
      <c r="E33" s="228">
        <f t="shared" si="4"/>
        <v>24034000</v>
      </c>
      <c r="F33" s="229">
        <f t="shared" si="6"/>
        <v>0.78800000000000003</v>
      </c>
      <c r="G33" s="230" t="s">
        <v>138</v>
      </c>
      <c r="H33" s="231">
        <f t="shared" si="0"/>
        <v>158600</v>
      </c>
      <c r="I33" s="232">
        <f t="shared" si="1"/>
        <v>158600</v>
      </c>
      <c r="J33" s="232">
        <f t="shared" si="2"/>
        <v>1586000</v>
      </c>
      <c r="K33" s="234"/>
    </row>
    <row r="34" spans="1:11" x14ac:dyDescent="0.2">
      <c r="A34" s="225">
        <v>16</v>
      </c>
      <c r="B34" s="226">
        <v>6.5000000000000002E-2</v>
      </c>
      <c r="C34" s="226">
        <f t="shared" si="3"/>
        <v>0.8</v>
      </c>
      <c r="D34" s="227">
        <f t="shared" si="5"/>
        <v>1586000</v>
      </c>
      <c r="E34" s="228">
        <f>E33+D34</f>
        <v>25620000</v>
      </c>
      <c r="F34" s="221">
        <f t="shared" si="6"/>
        <v>0.84</v>
      </c>
      <c r="G34" s="230" t="s">
        <v>139</v>
      </c>
      <c r="H34" s="231">
        <f>ROUND(D34*0.1,0)</f>
        <v>158600</v>
      </c>
      <c r="I34" s="232">
        <f t="shared" si="1"/>
        <v>158600</v>
      </c>
      <c r="J34" s="232">
        <f>ROUNDUP(D34*$D$12/100,-(LEN(D34)-$I$15))</f>
        <v>1586000</v>
      </c>
      <c r="K34" s="234"/>
    </row>
    <row r="35" spans="1:11" ht="12.75" thickBot="1" x14ac:dyDescent="0.25">
      <c r="A35" s="225">
        <v>17</v>
      </c>
      <c r="B35" s="226">
        <v>0.05</v>
      </c>
      <c r="C35" s="226">
        <f t="shared" si="3"/>
        <v>0.85000000000000009</v>
      </c>
      <c r="D35" s="227">
        <f t="shared" si="5"/>
        <v>1220000</v>
      </c>
      <c r="E35" s="228">
        <f>E34+D35</f>
        <v>26840000</v>
      </c>
      <c r="F35" s="229">
        <f t="shared" si="6"/>
        <v>0.88</v>
      </c>
      <c r="G35" s="230" t="s">
        <v>140</v>
      </c>
      <c r="H35" s="231">
        <f>ROUND(D35*0.1,0)</f>
        <v>122000</v>
      </c>
      <c r="I35" s="232">
        <f t="shared" si="1"/>
        <v>122000</v>
      </c>
      <c r="J35" s="232">
        <f>ROUNDUP(D35*$D$12/100,-(LEN(D35)-$I$15))</f>
        <v>1220000</v>
      </c>
      <c r="K35" s="234"/>
    </row>
    <row r="36" spans="1:11" ht="12.75" thickBot="1" x14ac:dyDescent="0.25">
      <c r="A36" s="237">
        <v>18</v>
      </c>
      <c r="B36" s="226">
        <v>0.05</v>
      </c>
      <c r="C36" s="226">
        <f t="shared" si="3"/>
        <v>0.90000000000000013</v>
      </c>
      <c r="D36" s="227">
        <f t="shared" si="5"/>
        <v>1220000</v>
      </c>
      <c r="E36" s="240">
        <f>E35+D36</f>
        <v>28060000</v>
      </c>
      <c r="F36" s="221">
        <f t="shared" si="6"/>
        <v>0.92</v>
      </c>
      <c r="G36" s="242" t="s">
        <v>141</v>
      </c>
      <c r="H36" s="243">
        <f>ROUND(D36*0.1,0)</f>
        <v>122000</v>
      </c>
      <c r="I36" s="232">
        <f t="shared" si="1"/>
        <v>122000</v>
      </c>
      <c r="J36" s="244">
        <f>ROUNDUP(D36*$D$12/100,-(LEN(D36)-$I$15))</f>
        <v>1220000</v>
      </c>
      <c r="K36" s="236">
        <f>+SUM(J33:J36)</f>
        <v>5612000</v>
      </c>
    </row>
    <row r="37" spans="1:11" ht="12.75" thickBot="1" x14ac:dyDescent="0.25">
      <c r="A37" s="225">
        <v>19</v>
      </c>
      <c r="B37" s="226">
        <v>0.04</v>
      </c>
      <c r="C37" s="226">
        <f t="shared" si="3"/>
        <v>0.94000000000000017</v>
      </c>
      <c r="D37" s="227">
        <f t="shared" si="5"/>
        <v>976000</v>
      </c>
      <c r="E37" s="228">
        <f t="shared" ref="E37:E42" si="7">E36+D37</f>
        <v>29036000</v>
      </c>
      <c r="F37" s="229">
        <f t="shared" si="6"/>
        <v>0.95199999999999996</v>
      </c>
      <c r="G37" s="230" t="s">
        <v>142</v>
      </c>
      <c r="H37" s="231">
        <f t="shared" ref="H37:H42" si="8">ROUND(D37*0.1,0)</f>
        <v>97600</v>
      </c>
      <c r="I37" s="232">
        <f t="shared" si="1"/>
        <v>97600</v>
      </c>
      <c r="J37" s="244">
        <f t="shared" ref="J37:J42" si="9">ROUNDUP(D37*$D$12/100,-(LEN(D37)-$I$15))</f>
        <v>976000</v>
      </c>
      <c r="K37" s="236"/>
    </row>
    <row r="38" spans="1:11" ht="12.75" thickBot="1" x14ac:dyDescent="0.25">
      <c r="A38" s="237">
        <v>20</v>
      </c>
      <c r="B38" s="226">
        <v>0.02</v>
      </c>
      <c r="C38" s="226">
        <f t="shared" si="3"/>
        <v>0.96000000000000019</v>
      </c>
      <c r="D38" s="227">
        <f t="shared" si="5"/>
        <v>488000</v>
      </c>
      <c r="E38" s="240">
        <f t="shared" si="7"/>
        <v>29524000</v>
      </c>
      <c r="F38" s="221">
        <f t="shared" si="6"/>
        <v>0.96799999999999997</v>
      </c>
      <c r="G38" s="242" t="s">
        <v>143</v>
      </c>
      <c r="H38" s="243">
        <f t="shared" si="8"/>
        <v>48800</v>
      </c>
      <c r="I38" s="232">
        <f t="shared" si="1"/>
        <v>48800</v>
      </c>
      <c r="J38" s="244">
        <f t="shared" si="9"/>
        <v>488000</v>
      </c>
      <c r="K38" s="236"/>
    </row>
    <row r="39" spans="1:11" ht="12.75" thickBot="1" x14ac:dyDescent="0.25">
      <c r="A39" s="225">
        <v>21</v>
      </c>
      <c r="B39" s="256">
        <v>0.01</v>
      </c>
      <c r="C39" s="226">
        <f t="shared" si="3"/>
        <v>0.9700000000000002</v>
      </c>
      <c r="D39" s="227">
        <f t="shared" si="5"/>
        <v>244000</v>
      </c>
      <c r="E39" s="228">
        <f t="shared" si="7"/>
        <v>29768000</v>
      </c>
      <c r="F39" s="229">
        <f t="shared" si="6"/>
        <v>0.97599999999999998</v>
      </c>
      <c r="G39" s="230" t="s">
        <v>144</v>
      </c>
      <c r="H39" s="231">
        <f t="shared" si="8"/>
        <v>24400</v>
      </c>
      <c r="I39" s="244">
        <f>ROUNDUP((D39+H39-J39),-(LEN(D39)-$I$15))</f>
        <v>24400</v>
      </c>
      <c r="J39" s="244">
        <f t="shared" si="9"/>
        <v>244000</v>
      </c>
      <c r="K39" s="236"/>
    </row>
    <row r="40" spans="1:11" ht="12.75" thickBot="1" x14ac:dyDescent="0.25">
      <c r="A40" s="237">
        <v>22</v>
      </c>
      <c r="B40" s="226">
        <v>0.01</v>
      </c>
      <c r="C40" s="226">
        <f t="shared" si="3"/>
        <v>0.9800000000000002</v>
      </c>
      <c r="D40" s="227">
        <f t="shared" si="5"/>
        <v>244000</v>
      </c>
      <c r="E40" s="240">
        <f t="shared" si="7"/>
        <v>30012000</v>
      </c>
      <c r="F40" s="221">
        <f t="shared" si="6"/>
        <v>0.98399999999999999</v>
      </c>
      <c r="G40" s="242" t="s">
        <v>145</v>
      </c>
      <c r="H40" s="243">
        <f t="shared" si="8"/>
        <v>24400</v>
      </c>
      <c r="I40" s="232">
        <f t="shared" si="1"/>
        <v>24400</v>
      </c>
      <c r="J40" s="244">
        <f t="shared" si="9"/>
        <v>244000</v>
      </c>
      <c r="K40" s="236"/>
    </row>
    <row r="41" spans="1:11" ht="12.75" thickBot="1" x14ac:dyDescent="0.25">
      <c r="A41" s="225">
        <v>23</v>
      </c>
      <c r="B41" s="226">
        <v>0.01</v>
      </c>
      <c r="C41" s="226">
        <f t="shared" si="3"/>
        <v>0.99000000000000021</v>
      </c>
      <c r="D41" s="227">
        <f t="shared" si="5"/>
        <v>244000</v>
      </c>
      <c r="E41" s="228">
        <f t="shared" si="7"/>
        <v>30256000</v>
      </c>
      <c r="F41" s="229">
        <f t="shared" si="6"/>
        <v>0.99199999999999999</v>
      </c>
      <c r="G41" s="230" t="s">
        <v>146</v>
      </c>
      <c r="H41" s="231">
        <f t="shared" si="8"/>
        <v>24400</v>
      </c>
      <c r="I41" s="232">
        <f t="shared" si="1"/>
        <v>24400</v>
      </c>
      <c r="J41" s="244">
        <f t="shared" si="9"/>
        <v>244000</v>
      </c>
      <c r="K41" s="236"/>
    </row>
    <row r="42" spans="1:11" ht="12.75" thickBot="1" x14ac:dyDescent="0.25">
      <c r="A42" s="237">
        <v>24</v>
      </c>
      <c r="B42" s="238">
        <v>0.01</v>
      </c>
      <c r="C42" s="226">
        <f t="shared" si="3"/>
        <v>1.0000000000000002</v>
      </c>
      <c r="D42" s="227">
        <f t="shared" si="5"/>
        <v>244000</v>
      </c>
      <c r="E42" s="240">
        <f t="shared" si="7"/>
        <v>30500000</v>
      </c>
      <c r="F42" s="221">
        <f t="shared" si="6"/>
        <v>1</v>
      </c>
      <c r="G42" s="242" t="s">
        <v>147</v>
      </c>
      <c r="H42" s="243">
        <f t="shared" si="8"/>
        <v>24400</v>
      </c>
      <c r="I42" s="244">
        <f t="shared" si="1"/>
        <v>24400</v>
      </c>
      <c r="J42" s="244">
        <f t="shared" si="9"/>
        <v>244000</v>
      </c>
      <c r="K42" s="236"/>
    </row>
    <row r="43" spans="1:11" ht="20.25" customHeight="1" thickBot="1" x14ac:dyDescent="0.25">
      <c r="A43" s="245" t="str">
        <f>A42*30 &amp; " dias"</f>
        <v>720 dias</v>
      </c>
      <c r="B43" s="246">
        <f>SUM(B19:B42)</f>
        <v>1.0000000000000002</v>
      </c>
      <c r="C43" s="247"/>
      <c r="D43" s="248">
        <f>SUM(D18:D42)</f>
        <v>30500000</v>
      </c>
      <c r="E43" s="185"/>
      <c r="H43" s="185"/>
      <c r="I43" s="249">
        <f>SUM(I18:I36)</f>
        <v>2806000</v>
      </c>
      <c r="J43" s="249">
        <f>SUM(J18:J42)</f>
        <v>30500000</v>
      </c>
      <c r="K43" s="234"/>
    </row>
    <row r="44" spans="1:11" ht="15" customHeight="1" x14ac:dyDescent="0.2">
      <c r="A44" s="190"/>
      <c r="F44" s="193"/>
      <c r="G44" s="193"/>
      <c r="H44" s="196" t="s">
        <v>235</v>
      </c>
      <c r="I44" s="543">
        <f>I43+J43</f>
        <v>33306000</v>
      </c>
      <c r="J44" s="544"/>
    </row>
    <row r="45" spans="1:11" x14ac:dyDescent="0.2">
      <c r="A45" s="189" t="s">
        <v>236</v>
      </c>
      <c r="B45" s="189"/>
      <c r="C45" s="189"/>
      <c r="H45" s="196" t="s">
        <v>237</v>
      </c>
      <c r="I45" s="207">
        <f>I44/1.1-D11</f>
        <v>-221818.18181818351</v>
      </c>
    </row>
    <row r="46" spans="1:11" x14ac:dyDescent="0.2">
      <c r="B46" s="250"/>
    </row>
    <row r="47" spans="1:11" x14ac:dyDescent="0.2">
      <c r="B47" s="250"/>
    </row>
    <row r="49" spans="1:27" s="253" customFormat="1" ht="12.75" customHeight="1" x14ac:dyDescent="0.2">
      <c r="A49" s="251"/>
      <c r="B49" s="252" t="s">
        <v>238</v>
      </c>
      <c r="C49" s="252" t="s">
        <v>124</v>
      </c>
      <c r="D49" s="252" t="s">
        <v>125</v>
      </c>
      <c r="E49" s="252" t="s">
        <v>126</v>
      </c>
      <c r="F49" s="252" t="s">
        <v>127</v>
      </c>
      <c r="G49" s="252" t="s">
        <v>128</v>
      </c>
      <c r="H49" s="252" t="s">
        <v>129</v>
      </c>
      <c r="I49" s="252" t="s">
        <v>130</v>
      </c>
      <c r="J49" s="252" t="s">
        <v>131</v>
      </c>
      <c r="K49" s="252" t="s">
        <v>132</v>
      </c>
      <c r="L49" s="252" t="s">
        <v>133</v>
      </c>
      <c r="M49" s="252" t="s">
        <v>134</v>
      </c>
      <c r="N49" s="252" t="s">
        <v>135</v>
      </c>
      <c r="O49" s="252" t="s">
        <v>136</v>
      </c>
      <c r="P49" s="252" t="s">
        <v>137</v>
      </c>
      <c r="Q49" s="252" t="s">
        <v>138</v>
      </c>
      <c r="R49" s="252" t="s">
        <v>139</v>
      </c>
      <c r="S49" s="252" t="s">
        <v>140</v>
      </c>
      <c r="T49" s="252" t="s">
        <v>141</v>
      </c>
      <c r="U49" s="252" t="s">
        <v>142</v>
      </c>
      <c r="V49" s="252" t="s">
        <v>143</v>
      </c>
      <c r="W49" s="252" t="s">
        <v>144</v>
      </c>
      <c r="X49" s="252" t="s">
        <v>145</v>
      </c>
      <c r="Y49" s="252" t="s">
        <v>146</v>
      </c>
      <c r="Z49" s="252" t="s">
        <v>147</v>
      </c>
    </row>
    <row r="50" spans="1:27" x14ac:dyDescent="0.2">
      <c r="A50" s="254" t="s">
        <v>239</v>
      </c>
      <c r="B50" s="227">
        <v>0</v>
      </c>
      <c r="C50" s="227">
        <v>0</v>
      </c>
      <c r="D50" s="227">
        <v>0</v>
      </c>
      <c r="E50" s="227">
        <v>0</v>
      </c>
      <c r="F50" s="227">
        <v>0</v>
      </c>
      <c r="G50" s="227">
        <v>0</v>
      </c>
      <c r="H50" s="227">
        <v>0</v>
      </c>
      <c r="I50" s="227">
        <v>0</v>
      </c>
      <c r="J50" s="227">
        <v>0</v>
      </c>
      <c r="K50" s="227">
        <v>0</v>
      </c>
      <c r="L50" s="227">
        <v>0</v>
      </c>
      <c r="M50" s="227">
        <v>0</v>
      </c>
      <c r="N50" s="227">
        <v>0</v>
      </c>
      <c r="O50" s="227">
        <v>0</v>
      </c>
      <c r="P50" s="227">
        <v>0</v>
      </c>
      <c r="Q50" s="227">
        <v>0</v>
      </c>
      <c r="R50" s="227">
        <v>0</v>
      </c>
      <c r="S50" s="227">
        <v>0</v>
      </c>
      <c r="T50" s="227">
        <v>0</v>
      </c>
      <c r="U50" s="193">
        <f>SUM(B50:T50)</f>
        <v>0</v>
      </c>
      <c r="V50" s="193">
        <f t="shared" ref="V50:AA50" si="10">SUM(C50:U50)</f>
        <v>0</v>
      </c>
      <c r="W50" s="193">
        <f t="shared" si="10"/>
        <v>0</v>
      </c>
      <c r="X50" s="193">
        <f t="shared" si="10"/>
        <v>0</v>
      </c>
      <c r="Y50" s="193">
        <f t="shared" si="10"/>
        <v>0</v>
      </c>
      <c r="Z50" s="193">
        <f t="shared" si="10"/>
        <v>0</v>
      </c>
      <c r="AA50" s="193">
        <f t="shared" si="10"/>
        <v>0</v>
      </c>
    </row>
    <row r="51" spans="1:27" x14ac:dyDescent="0.2">
      <c r="A51" s="254" t="s">
        <v>240</v>
      </c>
      <c r="B51" s="227">
        <f>$J18</f>
        <v>6100000</v>
      </c>
      <c r="C51" s="227">
        <f>$J19</f>
        <v>610000</v>
      </c>
      <c r="D51" s="227">
        <f>$J20</f>
        <v>732000</v>
      </c>
      <c r="E51" s="227">
        <f>$J21</f>
        <v>854000</v>
      </c>
      <c r="F51" s="227">
        <f>$J22</f>
        <v>854000</v>
      </c>
      <c r="G51" s="227">
        <f>$J23</f>
        <v>976000</v>
      </c>
      <c r="H51" s="227">
        <f>$J24</f>
        <v>1098000</v>
      </c>
      <c r="I51" s="227">
        <f>$J25</f>
        <v>1098000</v>
      </c>
      <c r="J51" s="227">
        <f>$J26</f>
        <v>1220000</v>
      </c>
      <c r="K51" s="227">
        <f>$J27</f>
        <v>1342000</v>
      </c>
      <c r="L51" s="227">
        <f>$J28</f>
        <v>1342000</v>
      </c>
      <c r="M51" s="227">
        <f>$J29</f>
        <v>1342000</v>
      </c>
      <c r="N51" s="227">
        <f>$J30</f>
        <v>1464000</v>
      </c>
      <c r="O51" s="227">
        <f>$J31</f>
        <v>1708000</v>
      </c>
      <c r="P51" s="227">
        <f>$J32</f>
        <v>1708000</v>
      </c>
      <c r="Q51" s="227">
        <f>$J33</f>
        <v>1586000</v>
      </c>
      <c r="R51" s="227">
        <f>$J34</f>
        <v>1586000</v>
      </c>
      <c r="S51" s="227">
        <f>$J35</f>
        <v>1220000</v>
      </c>
      <c r="T51" s="227">
        <f>$J36</f>
        <v>1220000</v>
      </c>
      <c r="U51" s="227">
        <f>$J37</f>
        <v>976000</v>
      </c>
      <c r="V51" s="227">
        <f>$J38</f>
        <v>488000</v>
      </c>
      <c r="W51" s="227">
        <f>$J39</f>
        <v>244000</v>
      </c>
      <c r="X51" s="227">
        <f>$J40</f>
        <v>244000</v>
      </c>
      <c r="Y51" s="227">
        <f>$J41</f>
        <v>244000</v>
      </c>
      <c r="Z51" s="227">
        <f>$J42</f>
        <v>244000</v>
      </c>
      <c r="AA51" s="193">
        <f>SUM(B51:Z51)</f>
        <v>30500000</v>
      </c>
    </row>
    <row r="52" spans="1:27" x14ac:dyDescent="0.2">
      <c r="B52" s="227">
        <f>B50+B51</f>
        <v>6100000</v>
      </c>
      <c r="C52" s="227">
        <f t="shared" ref="C52:Z52" si="11">C50+C51</f>
        <v>610000</v>
      </c>
      <c r="D52" s="227">
        <f t="shared" si="11"/>
        <v>732000</v>
      </c>
      <c r="E52" s="227">
        <f t="shared" si="11"/>
        <v>854000</v>
      </c>
      <c r="F52" s="227">
        <f t="shared" si="11"/>
        <v>854000</v>
      </c>
      <c r="G52" s="227">
        <f t="shared" si="11"/>
        <v>976000</v>
      </c>
      <c r="H52" s="227">
        <f t="shared" si="11"/>
        <v>1098000</v>
      </c>
      <c r="I52" s="227">
        <f t="shared" si="11"/>
        <v>1098000</v>
      </c>
      <c r="J52" s="227">
        <f t="shared" si="11"/>
        <v>1220000</v>
      </c>
      <c r="K52" s="227">
        <f t="shared" si="11"/>
        <v>1342000</v>
      </c>
      <c r="L52" s="227">
        <f t="shared" si="11"/>
        <v>1342000</v>
      </c>
      <c r="M52" s="227">
        <f t="shared" si="11"/>
        <v>1342000</v>
      </c>
      <c r="N52" s="227">
        <f t="shared" si="11"/>
        <v>1464000</v>
      </c>
      <c r="O52" s="227">
        <f t="shared" si="11"/>
        <v>1708000</v>
      </c>
      <c r="P52" s="227">
        <f t="shared" si="11"/>
        <v>1708000</v>
      </c>
      <c r="Q52" s="227">
        <f t="shared" si="11"/>
        <v>1586000</v>
      </c>
      <c r="R52" s="227">
        <f t="shared" si="11"/>
        <v>1586000</v>
      </c>
      <c r="S52" s="227">
        <f t="shared" si="11"/>
        <v>1220000</v>
      </c>
      <c r="T52" s="227">
        <f t="shared" si="11"/>
        <v>1220000</v>
      </c>
      <c r="U52" s="227">
        <f t="shared" si="11"/>
        <v>976000</v>
      </c>
      <c r="V52" s="227">
        <f t="shared" si="11"/>
        <v>488000</v>
      </c>
      <c r="W52" s="227">
        <f t="shared" si="11"/>
        <v>244000</v>
      </c>
      <c r="X52" s="227">
        <f t="shared" si="11"/>
        <v>244000</v>
      </c>
      <c r="Y52" s="227">
        <f t="shared" si="11"/>
        <v>244000</v>
      </c>
      <c r="Z52" s="227">
        <f t="shared" si="11"/>
        <v>244000</v>
      </c>
      <c r="AA52" s="227">
        <f>U50+AA51</f>
        <v>30500000</v>
      </c>
    </row>
    <row r="53" spans="1:27" x14ac:dyDescent="0.2">
      <c r="B53" s="255">
        <f>SUM(B52:Z52)</f>
        <v>30500000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F5BDA2F26F07564FBD68D55B0C44E0DF" ma:contentTypeVersion="213" ma:contentTypeDescription="The base project type from which other project content types inherit their information." ma:contentTypeScope="" ma:versionID="d4db400c7de479f2984b6a408ac5a06a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26531f147ab3e2620a3bdec333f3a20b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PR-L1105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Key_x0020_Document xmlns="cdc7663a-08f0-4737-9e8c-148ce897a09c">false</Key_x0020_Document>
    <Division_x0020_or_x0020_Unit xmlns="cdc7663a-08f0-4737-9e8c-148ce897a09c">INE/TSP</Division_x0020_or_x0020_Unit>
    <Other_x0020_Author xmlns="cdc7663a-08f0-4737-9e8c-148ce897a09c" xsi:nil="true"/>
    <IDBDocs_x0020_Number xmlns="cdc7663a-08f0-4737-9e8c-148ce897a09c">40430073</IDBDocs_x0020_Number>
    <Document_x0020_Author xmlns="cdc7663a-08f0-4737-9e8c-148ce897a09c">Monter Flores, Ernesto</Document_x0020_Author>
    <Operation_x0020_Type xmlns="cdc7663a-08f0-4737-9e8c-148ce897a09c" xsi:nil="true"/>
    <TaxCatchAll xmlns="cdc7663a-08f0-4737-9e8c-148ce897a09c">
      <Value>11</Value>
      <Value>10</Value>
    </TaxCatchAll>
    <Fiscal_x0020_Year_x0020_IDB xmlns="cdc7663a-08f0-4737-9e8c-148ce897a09c">2016</Fiscal_x0020_Year_x0020_IDB>
    <Project_x0020_Number xmlns="cdc7663a-08f0-4737-9e8c-148ce897a09c">PR-L1105</Project_x0020_Number>
    <Package_x0020_Code xmlns="cdc7663a-08f0-4737-9e8c-148ce897a09c" xsi:nil="true"/>
    <Migration_x0020_Info xmlns="cdc7663a-08f0-4737-9e8c-148ce897a09c">MS EXCELLoan Proposal0N</Migration_x0020_Info>
    <Approval_x0020_Number xmlns="cdc7663a-08f0-4737-9e8c-148ce897a09c" xsi:nil="true"/>
    <Business_x0020_Area xmlns="cdc7663a-08f0-4737-9e8c-148ce897a09c" xsi:nil="true"/>
    <SISCOR_x0020_Number xmlns="cdc7663a-08f0-4737-9e8c-148ce897a09c" xsi:nil="true"/>
    <Identifier xmlns="cdc7663a-08f0-4737-9e8c-148ce897a09c"> TECFILE</Identifier>
    <Document_x0020_Language_x0020_IDB xmlns="cdc7663a-08f0-4737-9e8c-148ce897a09c">Spanish</Document_x0020_Language_x0020_IDB>
    <Phase xmlns="cdc7663a-08f0-4737-9e8c-148ce897a09c" xsi:nil="true"/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b26cdb1da78c4bb4b1c1bac2f6ac5911>
    <ic46d7e087fd4a108fb86518ca413cc6 xmlns="cdc7663a-08f0-4737-9e8c-148ce897a09c">
      <Terms xmlns="http://schemas.microsoft.com/office/infopath/2007/PartnerControls"/>
    </ic46d7e087fd4a108fb86518ca413cc6>
    <From_x003a_ xmlns="cdc7663a-08f0-4737-9e8c-148ce897a09c" xsi:nil="true"/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o_x003a_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Record_x0020_Number xmlns="cdc7663a-08f0-4737-9e8c-148ce897a09c">R0002910244</Record_x0020_Number>
    <_dlc_DocId xmlns="cdc7663a-08f0-4737-9e8c-148ce897a09c">EZSHARE-1252231091-7</_dlc_DocId>
    <_dlc_DocIdUrl xmlns="cdc7663a-08f0-4737-9e8c-148ce897a09c">
      <Url>https://idbg.sharepoint.com/teams/EZ-PR-LON/PR-L1105/_layouts/15/DocIdRedir.aspx?ID=EZSHARE-1252231091-7</Url>
      <Description>EZSHARE-1252231091-7</Description>
    </_dlc_DocIdUrl>
  </documentManagement>
</p:properties>
</file>

<file path=customXml/item6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7B4E1F3E-1014-43B5-8C11-A403A321D167}"/>
</file>

<file path=customXml/itemProps2.xml><?xml version="1.0" encoding="utf-8"?>
<ds:datastoreItem xmlns:ds="http://schemas.openxmlformats.org/officeDocument/2006/customXml" ds:itemID="{652054AA-6F09-4A1B-BC83-A3B79E9A9301}"/>
</file>

<file path=customXml/itemProps3.xml><?xml version="1.0" encoding="utf-8"?>
<ds:datastoreItem xmlns:ds="http://schemas.openxmlformats.org/officeDocument/2006/customXml" ds:itemID="{B089BBA1-BE57-4E50-BD37-1D20944DAD79}"/>
</file>

<file path=customXml/itemProps4.xml><?xml version="1.0" encoding="utf-8"?>
<ds:datastoreItem xmlns:ds="http://schemas.openxmlformats.org/officeDocument/2006/customXml" ds:itemID="{CFE86F2B-4557-41E3-8C09-D0276166C2E6}"/>
</file>

<file path=customXml/itemProps5.xml><?xml version="1.0" encoding="utf-8"?>
<ds:datastoreItem xmlns:ds="http://schemas.openxmlformats.org/officeDocument/2006/customXml" ds:itemID="{2D639430-AE34-4708-825D-B70CC82FF0B5}"/>
</file>

<file path=customXml/itemProps6.xml><?xml version="1.0" encoding="utf-8"?>
<ds:datastoreItem xmlns:ds="http://schemas.openxmlformats.org/officeDocument/2006/customXml" ds:itemID="{CEE541EC-F8DF-447F-9663-DCE758E128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Cuadro de Costos</vt:lpstr>
      <vt:lpstr>3. PEP</vt:lpstr>
      <vt:lpstr>4. CC D</vt:lpstr>
      <vt:lpstr>6. PF M BID</vt:lpstr>
      <vt:lpstr>7. PF A BID</vt:lpstr>
      <vt:lpstr>12. POA año 1</vt:lpstr>
      <vt:lpstr>Plan de Adquisiciones</vt:lpstr>
      <vt:lpstr>Ñumi SJN</vt:lpstr>
      <vt:lpstr>ER6-frt-ECE</vt:lpstr>
      <vt:lpstr>Fisc ñumi SJN</vt:lpstr>
      <vt:lpstr>Fisc ER6-ECE</vt:lpstr>
      <vt:lpstr>'4. CC D'!Print_Area</vt:lpstr>
      <vt:lpstr>'6. PF M BID'!Print_Area</vt:lpstr>
      <vt:lpstr>'ER6-frt-ECE'!Print_Area</vt:lpstr>
      <vt:lpstr>'Ñumi SJN'!Print_Area</vt:lpstr>
      <vt:lpstr>'3. PEP'!Print_Titles</vt:lpstr>
      <vt:lpstr>'4. CC D'!Print_Titles</vt:lpstr>
      <vt:lpstr>'6. PF M BID'!Print_Titles</vt:lpstr>
      <vt:lpstr>'7. PF A BID'!Print_Titles</vt:lpstr>
    </vt:vector>
  </TitlesOfParts>
  <Company>Piratas Unidos S.A.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EER_6 Plan de Adquisiciones</dc:title>
  <dc:creator>PGODOY</dc:creator>
  <cp:lastModifiedBy>IADB</cp:lastModifiedBy>
  <cp:revision/>
  <cp:lastPrinted>2016-07-31T20:48:57Z</cp:lastPrinted>
  <dcterms:created xsi:type="dcterms:W3CDTF">2012-11-30T15:52:30Z</dcterms:created>
  <dcterms:modified xsi:type="dcterms:W3CDTF">2016-09-05T15:58:12Z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0x010100ACF722E9F6B0B149B0CD8BE2560A667200F5BDA2F26F07564FBD68D55B0C44E0DF</vt:lpwstr>
  </property>
  <property fmtid="{D5CDD505-2E9C-101B-9397-08002B2CF9AE}" pid="5" name="TaxKeywordTaxHTField">
    <vt:lpwstr/>
  </property>
  <property fmtid="{D5CDD505-2E9C-101B-9397-08002B2CF9AE}" pid="6" name="Series Operations IDB">
    <vt:lpwstr>3;#Unclassified|a6dff32e-d477-44cd-a56b-85efe9e0a56c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3;#Unclassified|a6dff32e-d477-44cd-a56b-85efe9e0a56c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10;#IDBDocs|cca77002-e150-4b2d-ab1f-1d7a7cdcae16</vt:lpwstr>
  </property>
  <property fmtid="{D5CDD505-2E9C-101B-9397-08002B2CF9AE}" pid="15" name="_dlc_DocIdItemGuid">
    <vt:lpwstr>d3fb2df1-9ca9-49a0-be5e-93b6d7311c6e</vt:lpwstr>
  </property>
  <property fmtid="{D5CDD505-2E9C-101B-9397-08002B2CF9AE}" pid="16" name="Disclosed">
    <vt:bool>true</vt:bool>
  </property>
</Properties>
</file>