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080" yWindow="45" windowWidth="15600" windowHeight="10575" activeTab="1"/>
  </bookViews>
  <sheets>
    <sheet name="RRF" sheetId="15" r:id="rId1"/>
    <sheet name="MER" sheetId="14" r:id="rId2"/>
    <sheet name="MMR" sheetId="16" r:id="rId3"/>
    <sheet name="Settings" sheetId="17" state="hidden" r:id="rId4"/>
  </sheets>
  <definedNames>
    <definedName name="Component1">RRF!$C$8</definedName>
    <definedName name="Component10">RRF!$C$40</definedName>
    <definedName name="Component11">RRF!$C$44</definedName>
    <definedName name="Component12">RRF!$C$48</definedName>
    <definedName name="Component13">RRF!$C$52</definedName>
    <definedName name="Component14">RRF!$C$55</definedName>
    <definedName name="Component15">RRF!$C$59</definedName>
    <definedName name="Component16">RRF!$C$62</definedName>
    <definedName name="Component17">RRF!$C$67</definedName>
    <definedName name="Component18">RRF!$C$77</definedName>
    <definedName name="Component19">RRF!$C$87</definedName>
    <definedName name="Component2">RRF!$C$12</definedName>
    <definedName name="Component20">RRF!$C$97</definedName>
    <definedName name="Component3">RRF!$C$16</definedName>
    <definedName name="Component4">RRF!$C$20</definedName>
    <definedName name="Component5">RRF!$C$24</definedName>
    <definedName name="Component6">RRF!$C$28</definedName>
    <definedName name="Component7">RRF!$C$31</definedName>
    <definedName name="Component8">RRF!$C$34</definedName>
    <definedName name="Component9">RRF!$C$37</definedName>
    <definedName name="Impact1">MER!$F$15</definedName>
    <definedName name="Impact10">MER!$F$24</definedName>
    <definedName name="Impact11">MER!$F$25</definedName>
    <definedName name="Impact12">MER!$F$26</definedName>
    <definedName name="Impact13">MER!$F$27</definedName>
    <definedName name="Impact14">MER!$F$28</definedName>
    <definedName name="Impact15">MER!$F$29</definedName>
    <definedName name="Impact16">MER!$F$30</definedName>
    <definedName name="Impact17">MER!$F$31</definedName>
    <definedName name="Impact18">MER!$F$32</definedName>
    <definedName name="Impact19">MER!$F$33</definedName>
    <definedName name="Impact2">MER!$F$16</definedName>
    <definedName name="Impact20">MER!$F$34</definedName>
    <definedName name="Impact3">MER!$F$17</definedName>
    <definedName name="Impact4">MER!$F$18</definedName>
    <definedName name="Impact5">MER!$F$19</definedName>
    <definedName name="Impact6">MER!$F$20</definedName>
    <definedName name="Impact7">MER!$F$21</definedName>
    <definedName name="Impact8">MER!$F$22</definedName>
    <definedName name="Impact9">MER!$F$23</definedName>
    <definedName name="Level1">MER!$J$15</definedName>
    <definedName name="Level10">MER!$J$24</definedName>
    <definedName name="Level11">MER!$J$25</definedName>
    <definedName name="Level12">MER!$J$26</definedName>
    <definedName name="Level13">MER!$J$27</definedName>
    <definedName name="Level14">MER!$J$28</definedName>
    <definedName name="Level15">MER!$J$29</definedName>
    <definedName name="Level16">MER!$J$30</definedName>
    <definedName name="Level17">MER!$J$31</definedName>
    <definedName name="Level18">MER!$J$32</definedName>
    <definedName name="Level19">MER!$J$33</definedName>
    <definedName name="Level2">MER!$J$16</definedName>
    <definedName name="Level20">MER!$J$34</definedName>
    <definedName name="Level3">MER!$J$17</definedName>
    <definedName name="Level4">MER!$J$18</definedName>
    <definedName name="Level5">MER!$J$19</definedName>
    <definedName name="Level6">MER!$J$20</definedName>
    <definedName name="Level7">MER!$J$21</definedName>
    <definedName name="Level8">MER!$J$22</definedName>
    <definedName name="Level9">MER!$J$23</definedName>
    <definedName name="_xlnm.Print_Area" localSheetId="1">MER!$B$2:$J$35</definedName>
    <definedName name="_xlnm.Print_Area" localSheetId="2">MMR!$B$2:$Q$91</definedName>
    <definedName name="_xlnm.Print_Area" localSheetId="0">RRF!$B$2:$G$106</definedName>
    <definedName name="_xlnm.Print_Titles" localSheetId="1">MER!$1:$14</definedName>
    <definedName name="_xlnm.Print_Titles" localSheetId="2">MMR!$9:$11</definedName>
    <definedName name="_xlnm.Print_Titles" localSheetId="0">RRF!$1:$7</definedName>
    <definedName name="Probability1">MER!$G$15</definedName>
    <definedName name="Probability10">MER!$G$24</definedName>
    <definedName name="Probability11">MER!$G$25</definedName>
    <definedName name="Probability12">MER!$G$26</definedName>
    <definedName name="Probability13">MER!$G$27</definedName>
    <definedName name="Probability14">MER!$G$28</definedName>
    <definedName name="Probability15">MER!$G$29</definedName>
    <definedName name="Probability16">MER!$G$30</definedName>
    <definedName name="Probability17">MER!$G$31</definedName>
    <definedName name="Probability18">MER!$G$32</definedName>
    <definedName name="Probability19">MER!$G$33</definedName>
    <definedName name="Probability2">MER!$G$16</definedName>
    <definedName name="Probability20">MER!$G$34</definedName>
    <definedName name="Probability3">MER!$G$17</definedName>
    <definedName name="Probability4">MER!$G$18</definedName>
    <definedName name="Probability5">MER!$G$19</definedName>
    <definedName name="Probability6">MER!$G$20</definedName>
    <definedName name="Probability7">MER!$G$21</definedName>
    <definedName name="Probability8">MER!$G$22</definedName>
    <definedName name="Probability9">MER!$G$23</definedName>
    <definedName name="Risk1">RRF!$E$8</definedName>
    <definedName name="Risk10">RRF!$E$40</definedName>
    <definedName name="Risk11">RRF!$E$44</definedName>
    <definedName name="Risk12">RRF!$E$48</definedName>
    <definedName name="Risk13">RRF!$E$52</definedName>
    <definedName name="Risk14">RRF!$E$55</definedName>
    <definedName name="Risk15">RRF!$E$59</definedName>
    <definedName name="Risk16">RRF!$E$62</definedName>
    <definedName name="Risk17">RRF!$E$67</definedName>
    <definedName name="Risk18">RRF!$E$77</definedName>
    <definedName name="Risk19">RRF!$E$87</definedName>
    <definedName name="Risk2">RRF!$E$12</definedName>
    <definedName name="Risk20">RRF!$E$97</definedName>
    <definedName name="Risk3">RRF!$E$16</definedName>
    <definedName name="Risk4">RRF!$E$20</definedName>
    <definedName name="Risk5">RRF!$E$24</definedName>
    <definedName name="Risk6">RRF!$E$28</definedName>
    <definedName name="Risk7">RRF!$E$31</definedName>
    <definedName name="Risk8">RRF!$E$34</definedName>
    <definedName name="Risk9">RRF!$E$37</definedName>
    <definedName name="Typeofrisk1">RRF!$D$8</definedName>
    <definedName name="Typeofrisk10">RRF!$D$40</definedName>
    <definedName name="Typeofrisk11">RRF!$D$44</definedName>
    <definedName name="Typeofrisk12">RRF!$D$48</definedName>
    <definedName name="Typeofrisk13">RRF!$D$52</definedName>
    <definedName name="Typeofrisk14">RRF!$D$55</definedName>
    <definedName name="Typeofrisk15">RRF!$D$59</definedName>
    <definedName name="Typeofrisk16">RRF!$D$62</definedName>
    <definedName name="Typeofrisk17">RRF!$D$67</definedName>
    <definedName name="Typeofrisk18">RRF!$D$77</definedName>
    <definedName name="Typeofrisk19">RRF!$D$87</definedName>
    <definedName name="Typeofrisk2">RRF!$D$12</definedName>
    <definedName name="Typeofrisk20">RRF!$D$97</definedName>
    <definedName name="Typeofrisk3">RRF!$D$16</definedName>
    <definedName name="Typeofrisk4">RRF!$D$20</definedName>
    <definedName name="Typeofrisk5">RRF!$D$24</definedName>
    <definedName name="Typeofrisk6">RRF!$D$28</definedName>
    <definedName name="Typeofrisk7">RRF!$D$31</definedName>
    <definedName name="Typeofrisk8">RRF!$D$34</definedName>
    <definedName name="Typeofrisk9">RRF!$D$37</definedName>
    <definedName name="Value1">MER!$I$15</definedName>
    <definedName name="Value10">MER!$I$24</definedName>
    <definedName name="Value11">MER!$I$25</definedName>
    <definedName name="Value12">MER!$I$26</definedName>
    <definedName name="Value13">MER!$I$27</definedName>
    <definedName name="Value14">MER!$I$28</definedName>
    <definedName name="Value15">MER!$I$29</definedName>
    <definedName name="Value16">MER!$I$30</definedName>
    <definedName name="Value17">MER!$I$31</definedName>
    <definedName name="Value18">MER!$I$32</definedName>
    <definedName name="Value19">MER!$I$33</definedName>
    <definedName name="Value2">MER!$I$16</definedName>
    <definedName name="Value20">MER!$I$34</definedName>
    <definedName name="Value3">MER!$I$17</definedName>
    <definedName name="Value4">MER!$I$18</definedName>
    <definedName name="Value5">MER!$I$19</definedName>
    <definedName name="Value6">MER!$I$20</definedName>
    <definedName name="Value7">MER!$I$21</definedName>
    <definedName name="Value8">MER!$I$22</definedName>
    <definedName name="Value9">MER!$I$23</definedName>
  </definedNames>
  <calcPr calcId="145621"/>
</workbook>
</file>

<file path=xl/calcChain.xml><?xml version="1.0" encoding="utf-8"?>
<calcChain xmlns="http://schemas.openxmlformats.org/spreadsheetml/2006/main">
  <c r="H15" i="14" l="1"/>
  <c r="I15" i="14" s="1"/>
  <c r="E88" i="16"/>
  <c r="D88" i="16"/>
  <c r="C88" i="16"/>
  <c r="E84" i="16"/>
  <c r="D84" i="16"/>
  <c r="C84" i="16"/>
  <c r="E80" i="16"/>
  <c r="D80" i="16"/>
  <c r="C80" i="16"/>
  <c r="E76" i="16"/>
  <c r="D76" i="16"/>
  <c r="C76" i="16"/>
  <c r="E72" i="16"/>
  <c r="D72" i="16"/>
  <c r="C72" i="16"/>
  <c r="E68" i="16"/>
  <c r="D68" i="16"/>
  <c r="C68" i="16"/>
  <c r="E64" i="16"/>
  <c r="D64" i="16"/>
  <c r="C64" i="16"/>
  <c r="E60" i="16"/>
  <c r="D60" i="16"/>
  <c r="C60" i="16"/>
  <c r="E56" i="16"/>
  <c r="D56" i="16"/>
  <c r="C56" i="16"/>
  <c r="E52" i="16"/>
  <c r="D52" i="16"/>
  <c r="C52" i="16"/>
  <c r="E48" i="16"/>
  <c r="D48" i="16"/>
  <c r="C48" i="16"/>
  <c r="E44" i="16"/>
  <c r="D44" i="16"/>
  <c r="C44" i="16"/>
  <c r="E40" i="16"/>
  <c r="D40" i="16"/>
  <c r="C40" i="16"/>
  <c r="E36" i="16"/>
  <c r="D36" i="16"/>
  <c r="C36" i="16"/>
  <c r="E32" i="16"/>
  <c r="D32" i="16"/>
  <c r="C32" i="16"/>
  <c r="E28" i="16"/>
  <c r="D28" i="16"/>
  <c r="C28" i="16"/>
  <c r="E24" i="16"/>
  <c r="D24" i="16"/>
  <c r="C24" i="16"/>
  <c r="E20" i="16"/>
  <c r="D20" i="16"/>
  <c r="C20" i="16"/>
  <c r="E16" i="16"/>
  <c r="D16" i="16"/>
  <c r="C16" i="16"/>
  <c r="E12" i="16"/>
  <c r="D12" i="16"/>
  <c r="C12" i="16"/>
  <c r="E34" i="14"/>
  <c r="D34" i="14"/>
  <c r="C34" i="14"/>
  <c r="E33" i="14"/>
  <c r="D33" i="14"/>
  <c r="C33" i="14"/>
  <c r="E32" i="14"/>
  <c r="D32" i="14"/>
  <c r="C32" i="14"/>
  <c r="E31" i="14"/>
  <c r="D31" i="14"/>
  <c r="C31" i="14"/>
  <c r="E30" i="14"/>
  <c r="D30" i="14"/>
  <c r="C30" i="14"/>
  <c r="E29" i="14"/>
  <c r="D29" i="14"/>
  <c r="C29" i="14"/>
  <c r="E28" i="14"/>
  <c r="D28" i="14"/>
  <c r="C28" i="14"/>
  <c r="E27" i="14"/>
  <c r="D27" i="14"/>
  <c r="C27" i="14"/>
  <c r="E26" i="14"/>
  <c r="D26" i="14"/>
  <c r="C26" i="14"/>
  <c r="E25" i="14"/>
  <c r="D25" i="14"/>
  <c r="C25" i="14"/>
  <c r="E24" i="14"/>
  <c r="D24" i="14"/>
  <c r="C24" i="14"/>
  <c r="E23" i="14"/>
  <c r="D23" i="14"/>
  <c r="C23" i="14"/>
  <c r="E22" i="14"/>
  <c r="D22" i="14"/>
  <c r="C22" i="14"/>
  <c r="E21" i="14"/>
  <c r="D21" i="14"/>
  <c r="C21" i="14"/>
  <c r="E20" i="14"/>
  <c r="D20" i="14"/>
  <c r="C20" i="14"/>
  <c r="E19" i="14"/>
  <c r="D19" i="14"/>
  <c r="C19" i="14"/>
  <c r="E18" i="14"/>
  <c r="D18" i="14"/>
  <c r="C18" i="14"/>
  <c r="E17" i="14"/>
  <c r="D17" i="14"/>
  <c r="C17" i="14"/>
  <c r="E16" i="14"/>
  <c r="D16" i="14"/>
  <c r="C16" i="14"/>
  <c r="E15" i="14"/>
  <c r="D15" i="14"/>
  <c r="C15" i="14"/>
  <c r="H16" i="14" l="1"/>
  <c r="I16" i="14" s="1"/>
  <c r="H17" i="14"/>
  <c r="I17" i="14" s="1"/>
  <c r="J16" i="14" l="1"/>
  <c r="G16" i="16" s="1"/>
  <c r="J17" i="14"/>
  <c r="G20" i="16" s="1"/>
  <c r="H18" i="14"/>
  <c r="I18" i="14" s="1"/>
  <c r="H19" i="14"/>
  <c r="I19" i="14" s="1"/>
  <c r="H20" i="14"/>
  <c r="I20" i="14" s="1"/>
  <c r="H21" i="14"/>
  <c r="I21" i="14" s="1"/>
  <c r="H22" i="14"/>
  <c r="I22" i="14" s="1"/>
  <c r="H23" i="14"/>
  <c r="I23" i="14" s="1"/>
  <c r="H24" i="14"/>
  <c r="I24" i="14" s="1"/>
  <c r="H25" i="14"/>
  <c r="I25" i="14" s="1"/>
  <c r="H26" i="14"/>
  <c r="I26" i="14" s="1"/>
  <c r="H27" i="14"/>
  <c r="I27" i="14" s="1"/>
  <c r="H28" i="14"/>
  <c r="I28" i="14" s="1"/>
  <c r="H29" i="14"/>
  <c r="I29" i="14" s="1"/>
  <c r="H30" i="14"/>
  <c r="I30" i="14" s="1"/>
  <c r="H31" i="14"/>
  <c r="I31" i="14" s="1"/>
  <c r="H32" i="14"/>
  <c r="I32" i="14" s="1"/>
  <c r="H33" i="14"/>
  <c r="I33" i="14" s="1"/>
  <c r="H34" i="14"/>
  <c r="I34" i="14" s="1"/>
  <c r="F12" i="16"/>
  <c r="F84" i="16" l="1"/>
  <c r="J29" i="14"/>
  <c r="G68" i="16" s="1"/>
  <c r="J27" i="14"/>
  <c r="G60" i="16" s="1"/>
  <c r="J25" i="14"/>
  <c r="G52" i="16" s="1"/>
  <c r="F44" i="16"/>
  <c r="F36" i="16"/>
  <c r="F16" i="16"/>
  <c r="F20" i="16"/>
  <c r="J31" i="14"/>
  <c r="G76" i="16" s="1"/>
  <c r="F76" i="16"/>
  <c r="J19" i="14"/>
  <c r="G28" i="16" s="1"/>
  <c r="F28" i="16"/>
  <c r="F24" i="16"/>
  <c r="J15" i="14"/>
  <c r="G12" i="16" s="1"/>
  <c r="F68" i="16" l="1"/>
  <c r="F60" i="16"/>
  <c r="F52" i="16"/>
  <c r="J33" i="14"/>
  <c r="G84" i="16" s="1"/>
  <c r="J23" i="14"/>
  <c r="G44" i="16" s="1"/>
  <c r="J21" i="14"/>
  <c r="G36" i="16" s="1"/>
  <c r="J34" i="14"/>
  <c r="G88" i="16" s="1"/>
  <c r="F88" i="16"/>
  <c r="J32" i="14"/>
  <c r="G80" i="16" s="1"/>
  <c r="F80" i="16"/>
  <c r="J30" i="14"/>
  <c r="G72" i="16" s="1"/>
  <c r="F72" i="16"/>
  <c r="J28" i="14"/>
  <c r="G64" i="16" s="1"/>
  <c r="F64" i="16"/>
  <c r="J26" i="14"/>
  <c r="G56" i="16" s="1"/>
  <c r="F56" i="16"/>
  <c r="J24" i="14"/>
  <c r="G48" i="16" s="1"/>
  <c r="F48" i="16"/>
  <c r="J22" i="14"/>
  <c r="G40" i="16" s="1"/>
  <c r="F40" i="16"/>
  <c r="J20" i="14"/>
  <c r="G32" i="16" s="1"/>
  <c r="F32" i="16"/>
  <c r="J18" i="14"/>
  <c r="G24" i="16" s="1"/>
</calcChain>
</file>

<file path=xl/comments1.xml><?xml version="1.0" encoding="utf-8"?>
<comments xmlns="http://schemas.openxmlformats.org/spreadsheetml/2006/main">
  <authors>
    <author>Sanchez, Juan Carlos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Seleccione un tipo de riesgo de la lista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veronicao</author>
    <author>jorgeq</author>
  </authors>
  <commentList>
    <comment ref="I10" authorId="0">
      <text>
        <r>
          <rPr>
            <sz val="8"/>
            <color indexed="81"/>
            <rFont val="Tahoma"/>
            <family val="2"/>
          </rPr>
          <t xml:space="preserve">Describir la manera de llevar a cabo la actividad prevista como acción de mitigación. Ejemplo: contratación de consultor  para revisión ex-post. 
</t>
        </r>
      </text>
    </comment>
    <comment ref="O10" authorId="1">
      <text>
        <r>
          <rPr>
            <sz val="10"/>
            <color indexed="81"/>
            <rFont val="Tahoma"/>
            <family val="2"/>
          </rPr>
          <t>Describir cómo se verificará que la actividad de mitigación fue realizada. El indicador de cumplimiento debe permitir medir la efectividad de la acción de mitigación. Ejemplo, informe de revisión ex-post del consultor, discutido y aceptado por el Cliente y el Banco.</t>
        </r>
      </text>
    </comment>
  </commentList>
</comments>
</file>

<file path=xl/sharedStrings.xml><?xml version="1.0" encoding="utf-8"?>
<sst xmlns="http://schemas.openxmlformats.org/spreadsheetml/2006/main" count="320" uniqueCount="284">
  <si>
    <t>Responsable</t>
  </si>
  <si>
    <t>Riesgo</t>
  </si>
  <si>
    <t>Impacto</t>
  </si>
  <si>
    <t>Valor</t>
  </si>
  <si>
    <t>Probabilidad</t>
  </si>
  <si>
    <t>Alto</t>
  </si>
  <si>
    <t>Bajo</t>
  </si>
  <si>
    <t>Medio</t>
  </si>
  <si>
    <t>BANCO INTERAMERICANO DE DESARROLLO</t>
  </si>
  <si>
    <t>Nivel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</si>
  <si>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</si>
  <si>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</si>
  <si>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</si>
  <si>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</si>
  <si>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</si>
  <si>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</si>
  <si>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</si>
  <si>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</si>
  <si>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</si>
  <si>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</si>
  <si>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</si>
  <si>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GESTIÓN DE RIESGO EN PROYECTOS </t>
  </si>
  <si>
    <t>REGISTRO DE RIESGOS Y FACTORES DE PROBABILIDAD</t>
  </si>
  <si>
    <t>Tipo de Riesgo</t>
  </si>
  <si>
    <t>4</t>
  </si>
  <si>
    <t>5</t>
  </si>
  <si>
    <t>6</t>
  </si>
  <si>
    <t>7</t>
  </si>
  <si>
    <t>8</t>
  </si>
  <si>
    <t>SETTINGS</t>
  </si>
  <si>
    <t>LABELS</t>
  </si>
  <si>
    <t>RiskLabel</t>
  </si>
  <si>
    <t>Risk</t>
  </si>
  <si>
    <t>ComponentLabel</t>
  </si>
  <si>
    <t>Component</t>
  </si>
  <si>
    <t>Type of Risk Label</t>
  </si>
  <si>
    <t>Type of Risk</t>
  </si>
  <si>
    <t>Probability Factor Statement</t>
  </si>
  <si>
    <t>Probability Factor Statement Label</t>
  </si>
  <si>
    <t>Impact Statement</t>
  </si>
  <si>
    <t>Impact Statement Level</t>
  </si>
  <si>
    <t>Impact Value Label</t>
  </si>
  <si>
    <t xml:space="preserve">Impact Value </t>
  </si>
  <si>
    <t>Probability Value Label</t>
  </si>
  <si>
    <t>Probability Value</t>
  </si>
  <si>
    <t>Calification</t>
  </si>
  <si>
    <t>Calification Value Label</t>
  </si>
  <si>
    <t>Level</t>
  </si>
  <si>
    <t xml:space="preserve">Value </t>
  </si>
  <si>
    <t>Risk Value Label</t>
  </si>
  <si>
    <t>Risk Level Label</t>
  </si>
  <si>
    <t>Desarrollo</t>
  </si>
  <si>
    <t>Activity Label</t>
  </si>
  <si>
    <t>Monitoring Date Label</t>
  </si>
  <si>
    <t>Component1</t>
  </si>
  <si>
    <t>Component2</t>
  </si>
  <si>
    <t>Component3</t>
  </si>
  <si>
    <t>Component4</t>
  </si>
  <si>
    <t>Component5</t>
  </si>
  <si>
    <t>Component6</t>
  </si>
  <si>
    <t>Component7</t>
  </si>
  <si>
    <t>Component8</t>
  </si>
  <si>
    <t>Component9</t>
  </si>
  <si>
    <t>Component10</t>
  </si>
  <si>
    <t>Component11</t>
  </si>
  <si>
    <t>Component12</t>
  </si>
  <si>
    <t>Component13</t>
  </si>
  <si>
    <t>Component14</t>
  </si>
  <si>
    <t>Component15</t>
  </si>
  <si>
    <t>Component16</t>
  </si>
  <si>
    <t>Component17</t>
  </si>
  <si>
    <t>Component18</t>
  </si>
  <si>
    <t>Component19</t>
  </si>
  <si>
    <t>Component20</t>
  </si>
  <si>
    <t>Risk1</t>
  </si>
  <si>
    <t>Risk2</t>
  </si>
  <si>
    <t>Risk3</t>
  </si>
  <si>
    <t>Risk4</t>
  </si>
  <si>
    <t>Risk5</t>
  </si>
  <si>
    <t>Risk6</t>
  </si>
  <si>
    <t>Risk7</t>
  </si>
  <si>
    <t>Risk8</t>
  </si>
  <si>
    <t>Risk9</t>
  </si>
  <si>
    <t>Risk10</t>
  </si>
  <si>
    <t>Risk11</t>
  </si>
  <si>
    <t>Risk12</t>
  </si>
  <si>
    <t>Risk13</t>
  </si>
  <si>
    <t>Risk14</t>
  </si>
  <si>
    <t>Risk15</t>
  </si>
  <si>
    <t>Risk16</t>
  </si>
  <si>
    <t>Risk17</t>
  </si>
  <si>
    <t>Risk18</t>
  </si>
  <si>
    <t>Risk19</t>
  </si>
  <si>
    <t>Risk20</t>
  </si>
  <si>
    <t>Typeofrisk1</t>
  </si>
  <si>
    <t>Typeofrisk2</t>
  </si>
  <si>
    <t>Typeofrisk3</t>
  </si>
  <si>
    <t>Typeofrisk4</t>
  </si>
  <si>
    <t>Typeofrisk5</t>
  </si>
  <si>
    <t>Typeofrisk6</t>
  </si>
  <si>
    <t>Typeofrisk7</t>
  </si>
  <si>
    <t>Typeofrisk8</t>
  </si>
  <si>
    <t>Typeofrisk9</t>
  </si>
  <si>
    <t>Typeofrisk10</t>
  </si>
  <si>
    <t>Typeofrisk11</t>
  </si>
  <si>
    <t>Typeofrisk12</t>
  </si>
  <si>
    <t>Typeofrisk13</t>
  </si>
  <si>
    <t>Typeofrisk14</t>
  </si>
  <si>
    <t>Typeofrisk15</t>
  </si>
  <si>
    <t>Typeofrisk16</t>
  </si>
  <si>
    <t>Typeofrisk17</t>
  </si>
  <si>
    <t>Typeofrisk18</t>
  </si>
  <si>
    <t>Typeofrisk19</t>
  </si>
  <si>
    <t>Typeofrisk20</t>
  </si>
  <si>
    <t xml:space="preserve">                     BANCO INTERAMERICANO DE DESARROLLO</t>
  </si>
  <si>
    <t xml:space="preserve">                        GESTIÓN DE RIESGO EN PROYECTOS </t>
  </si>
  <si>
    <t xml:space="preserve">             MATRIZ DE EVALUACIÓN DE RIESGOS</t>
  </si>
  <si>
    <t>Impact1</t>
  </si>
  <si>
    <t>Impact2</t>
  </si>
  <si>
    <t>Impact3</t>
  </si>
  <si>
    <t>Impact4</t>
  </si>
  <si>
    <t>Impact5</t>
  </si>
  <si>
    <t>Impact6</t>
  </si>
  <si>
    <t>Impact7</t>
  </si>
  <si>
    <t>Impact8</t>
  </si>
  <si>
    <t>Impact9</t>
  </si>
  <si>
    <t>Impact10</t>
  </si>
  <si>
    <t>Impact11</t>
  </si>
  <si>
    <t>Impact12</t>
  </si>
  <si>
    <t>Impact13</t>
  </si>
  <si>
    <t>Impact14</t>
  </si>
  <si>
    <t>Impact15</t>
  </si>
  <si>
    <t>Impact16</t>
  </si>
  <si>
    <t>Impact17</t>
  </si>
  <si>
    <t>Impact18</t>
  </si>
  <si>
    <t>Impact19</t>
  </si>
  <si>
    <t>Impact20</t>
  </si>
  <si>
    <t>Probability1</t>
  </si>
  <si>
    <t>Probability2</t>
  </si>
  <si>
    <t>Probability3</t>
  </si>
  <si>
    <t>Probability4</t>
  </si>
  <si>
    <t>Probability5</t>
  </si>
  <si>
    <t>Probability6</t>
  </si>
  <si>
    <t>Probability7</t>
  </si>
  <si>
    <t>Probability8</t>
  </si>
  <si>
    <t>Probability9</t>
  </si>
  <si>
    <t>Probability10</t>
  </si>
  <si>
    <t>Probability11</t>
  </si>
  <si>
    <t>Probability12</t>
  </si>
  <si>
    <t>Probability13</t>
  </si>
  <si>
    <t>Probability14</t>
  </si>
  <si>
    <t>Probability15</t>
  </si>
  <si>
    <t>Probability16</t>
  </si>
  <si>
    <t>Probability17</t>
  </si>
  <si>
    <t>Probability18</t>
  </si>
  <si>
    <t>Probability19</t>
  </si>
  <si>
    <t>Probability20</t>
  </si>
  <si>
    <t>Value1</t>
  </si>
  <si>
    <t>Value2</t>
  </si>
  <si>
    <t>Value3</t>
  </si>
  <si>
    <t>Value4</t>
  </si>
  <si>
    <t>Value5</t>
  </si>
  <si>
    <t>Value6</t>
  </si>
  <si>
    <t>Value7</t>
  </si>
  <si>
    <t>Value8</t>
  </si>
  <si>
    <t>Value9</t>
  </si>
  <si>
    <t>Value10</t>
  </si>
  <si>
    <t>Value11</t>
  </si>
  <si>
    <t>Value12</t>
  </si>
  <si>
    <t>Value13</t>
  </si>
  <si>
    <t>Value14</t>
  </si>
  <si>
    <t>Value15</t>
  </si>
  <si>
    <t>Value16</t>
  </si>
  <si>
    <t>Value17</t>
  </si>
  <si>
    <t>Value18</t>
  </si>
  <si>
    <t>Value19</t>
  </si>
  <si>
    <t>Value20</t>
  </si>
  <si>
    <t>Level1</t>
  </si>
  <si>
    <t>Level2</t>
  </si>
  <si>
    <t>Level3</t>
  </si>
  <si>
    <t>Level4</t>
  </si>
  <si>
    <t>Level5</t>
  </si>
  <si>
    <t>Level6</t>
  </si>
  <si>
    <t>Level7</t>
  </si>
  <si>
    <t>Level8</t>
  </si>
  <si>
    <t>Level9</t>
  </si>
  <si>
    <t>Level10</t>
  </si>
  <si>
    <t>Level11</t>
  </si>
  <si>
    <t>Level12</t>
  </si>
  <si>
    <t>Level13</t>
  </si>
  <si>
    <t>Level14</t>
  </si>
  <si>
    <t>Level15</t>
  </si>
  <si>
    <t>Level16</t>
  </si>
  <si>
    <t>Level17</t>
  </si>
  <si>
    <t>Level18</t>
  </si>
  <si>
    <t>Level19</t>
  </si>
  <si>
    <t>Level20</t>
  </si>
  <si>
    <t>Factor de probabilidad</t>
  </si>
  <si>
    <t>Componente/Producto</t>
  </si>
  <si>
    <t>Clasificación Riesgo</t>
  </si>
  <si>
    <r>
      <rPr>
        <b/>
        <sz val="10"/>
        <color theme="0"/>
        <rFont val="Arial"/>
        <family val="2"/>
      </rPr>
      <t>Calificación</t>
    </r>
    <r>
      <rPr>
        <b/>
        <sz val="8"/>
        <color theme="0"/>
        <rFont val="Arial"/>
        <family val="2"/>
      </rPr>
      <t xml:space="preserve">   </t>
    </r>
    <r>
      <rPr>
        <b/>
        <sz val="6"/>
        <color theme="0"/>
        <rFont val="Arial"/>
        <family val="2"/>
      </rPr>
      <t>(Probabilidad x Impacto)</t>
    </r>
  </si>
  <si>
    <t>Cómo se realizará la actividad?</t>
  </si>
  <si>
    <t>Nombre</t>
  </si>
  <si>
    <t>Institución</t>
  </si>
  <si>
    <t>Indicador de Cumplimiento</t>
  </si>
  <si>
    <t>Agencia Ejecutora</t>
  </si>
  <si>
    <t>BID</t>
  </si>
  <si>
    <t>Activity</t>
  </si>
  <si>
    <t>How is the activity to be done Label</t>
  </si>
  <si>
    <t>How is the activity to be done</t>
  </si>
  <si>
    <t>Budget Label</t>
  </si>
  <si>
    <t>Budget</t>
  </si>
  <si>
    <t>Beginning Date Label</t>
  </si>
  <si>
    <t>Ending Date Label</t>
  </si>
  <si>
    <t>Beginning Date (DD. MM.YY)</t>
  </si>
  <si>
    <t>Ending Date (DD.MM.YY)</t>
  </si>
  <si>
    <t>Responsible Label</t>
  </si>
  <si>
    <t>Responsible</t>
  </si>
  <si>
    <t>Responsible Name Label</t>
  </si>
  <si>
    <t>Name</t>
  </si>
  <si>
    <t>Responsabible Institution</t>
  </si>
  <si>
    <t>Institution</t>
  </si>
  <si>
    <t>Monitoring Date</t>
  </si>
  <si>
    <t>Executing Agency Monitoring Date</t>
  </si>
  <si>
    <t>Executing Agency</t>
  </si>
  <si>
    <t xml:space="preserve">IDB Monitoring Date </t>
  </si>
  <si>
    <t>IDB</t>
  </si>
  <si>
    <t>Componente / Producto</t>
  </si>
  <si>
    <t>MATRIZ DE MITIGACIÓN DE RIESGOS</t>
  </si>
  <si>
    <t xml:space="preserve">Actividad </t>
  </si>
  <si>
    <r>
      <t xml:space="preserve">Fecha Inicio </t>
    </r>
    <r>
      <rPr>
        <b/>
        <sz val="8"/>
        <rFont val="Arial"/>
        <family val="2"/>
      </rPr>
      <t>(DD.MM.AA)</t>
    </r>
  </si>
  <si>
    <r>
      <t xml:space="preserve">Fecha Fin </t>
    </r>
    <r>
      <rPr>
        <b/>
        <sz val="8"/>
        <rFont val="Arial"/>
        <family val="2"/>
      </rPr>
      <t>(DD.MM.AA)</t>
    </r>
  </si>
  <si>
    <r>
      <t>Fecha Monitoreo</t>
    </r>
    <r>
      <rPr>
        <b/>
        <sz val="8"/>
        <rFont val="Arial"/>
        <family val="2"/>
      </rPr>
      <t xml:space="preserve"> (DD.MM.AA)</t>
    </r>
  </si>
  <si>
    <t xml:space="preserve"> </t>
  </si>
  <si>
    <t>Nº</t>
  </si>
  <si>
    <t>Gestión Pública y Gobernabilidad</t>
  </si>
  <si>
    <t>Sostenibilidad Ambiental y Social</t>
  </si>
  <si>
    <t>Macroeconómicos y Sostenibilidad Fiscal</t>
  </si>
  <si>
    <r>
      <rPr>
        <b/>
        <sz val="10"/>
        <color theme="0"/>
        <rFont val="Arial"/>
        <family val="2"/>
      </rPr>
      <t xml:space="preserve">Calificación  </t>
    </r>
    <r>
      <rPr>
        <b/>
        <sz val="8"/>
        <color theme="0"/>
        <rFont val="Arial"/>
        <family val="2"/>
      </rPr>
      <t xml:space="preserve"> </t>
    </r>
    <r>
      <rPr>
        <b/>
        <sz val="6"/>
        <color theme="0"/>
        <rFont val="Arial"/>
        <family val="2"/>
      </rPr>
      <t>(Probabilidad  Impacto)</t>
    </r>
  </si>
  <si>
    <t xml:space="preserve">Retrasaría el fortalecimiento de la capacidad de resolución de los efectores, lo cual, a su vez, podría ser un factor adicional de retraso en el cumplimiento de las condiciones. </t>
  </si>
  <si>
    <t>Fiduciario</t>
  </si>
  <si>
    <t>Que se retrase el cumplimiento de las condiciones que habilitan el pago de incentivos a algunas jurisdicciones.</t>
  </si>
  <si>
    <t>(i) podría afectar el cumplimiento de las condiciones que habilitan el pago; (ii) retrasaría el fortalecimiento de la capacidad de resolución de los efectores; y (iii) podría impedir que se realice el control financiero ex post de la inversión al momento del cierre del proyecto.</t>
  </si>
  <si>
    <t>Que se retrase la rendición de los recursos desembolsados a los implementadores de los proyectos.</t>
  </si>
  <si>
    <t>Podría impedir que se realice el control financiero ex post de la inversión al momento del cierre del proyecto.</t>
  </si>
  <si>
    <t>Circuitos de compras y control de algunas jurisdicciones excesivamente lentos.</t>
  </si>
  <si>
    <t>Los equipos de algunas Unidades de Gestión Provincial no cuentan con la experiencia o el nivel de interlocución requerido para "navegar" estos circuitos de manera eficiente.</t>
  </si>
  <si>
    <t>Los implementadores no cuentan con el conocimiento necesario para realizar las adquisiciones y las rendiciones.</t>
  </si>
  <si>
    <t>Se desconoce la facilidad de cumplimiento de las nuevas condiciones de REDES 3.</t>
  </si>
  <si>
    <t>Se desconoce si el dimensionamiento del equipo de REDES que acompaña a las jurisdicciones y a los efectores es el adecuado, frente a la expansión del programa.</t>
  </si>
  <si>
    <t>Se desconoce si el dimensionamiento del equipo de supervisión capacitante de la UFIS es el adecuado, frente a la expansión del número de proyectos innovadores a ser financiados.</t>
  </si>
  <si>
    <t>Proyectos Jurisdiccionales</t>
  </si>
  <si>
    <t>Proyectos Innovadores</t>
  </si>
  <si>
    <t>Capacitaciones en uso racional de medicamentos</t>
  </si>
  <si>
    <t>Que no se logre realizarlas oportunamente</t>
  </si>
  <si>
    <t>Se desconoce si hay una disposición para descontinuar la contratación de universidades, método que tradicionalmente ha utilizado el programa de manera satisfactoria</t>
  </si>
  <si>
    <t>Equipamiento para el Primer Nivel de Atención</t>
  </si>
  <si>
    <t>Que la distribución de equipamiento no se corresponda con la demanda de atención y capacidad de uso adecuado de los efectores o en condiciones sustentables</t>
  </si>
  <si>
    <t>El proceso de estimación de demanda de servicios, condiciones actuales de equipamiento, disponibilidad de competencias para su uso en los efectores y de definición de mecanismos de mantenimiento y reparación es aún incipiente.</t>
  </si>
  <si>
    <t>Tests de sangre oculta y VPH</t>
  </si>
  <si>
    <t>Que no su aplicación no logre alcanzar a un porcentaje sustantivo de la población objetivo</t>
  </si>
  <si>
    <t>Incidiría negativamente en los indicadores de resultados del Programa</t>
  </si>
  <si>
    <t>Incidiría negativamente en los indicadores de resultado y de impacto del Programa</t>
  </si>
  <si>
    <t>Se desconoce la efectividad de las capacitaciones a agentes sanitarios en su práctica.</t>
  </si>
  <si>
    <t>Sistema de Información para el Tamizaje y Registro Institucional de Tumores de Argentina</t>
  </si>
  <si>
    <t>Que se retrase la firma de Convenios de Gestión con algunos hospitales</t>
  </si>
  <si>
    <t>Retrasaría la ejecución del Programa</t>
  </si>
  <si>
    <t>Desconocimiento de los sistemas o de sus mecanismos de gestión por parte de los directores de hospitales</t>
  </si>
  <si>
    <t>Inestabilidad laboral en los cargos directivos hospitalarios</t>
  </si>
  <si>
    <t>Ejecución de las actividades del componente "Fortalecimiento de la Red Oncológica"</t>
  </si>
  <si>
    <t>Que las actividades previstas en el componente no se ejecuten en tiempo y forma</t>
  </si>
  <si>
    <t>Reduciría la efectividad del componente y/o podría generar ineficiencias en su ejecución</t>
  </si>
  <si>
    <t>Fallas de coordinación entre los distintos programas del Instituto Nacional del Cáncer</t>
  </si>
  <si>
    <t>Consulta de la UFIS</t>
  </si>
  <si>
    <t>Revisar con el Secretario de Programas Sanitarios y Salud Comunitaria si los convenios del Programa están supeditados a los de Cobertura Unviersal.</t>
  </si>
  <si>
    <t>Presupuesto en dólares</t>
  </si>
  <si>
    <t>Iniciar tempranamente la formulación de proyectos con las jurisdicciones</t>
  </si>
  <si>
    <t>Contacto de REDES con las jurisdicciones</t>
  </si>
  <si>
    <t>01.11.16</t>
  </si>
  <si>
    <t>31.03.17</t>
  </si>
  <si>
    <t>Gabriel González</t>
  </si>
  <si>
    <t>Al menos 10 provincias con proyecto finalizado</t>
  </si>
  <si>
    <t>Retrasos en las inversiones descentralizadas a las provincis.</t>
  </si>
  <si>
    <t>Desarrollo y fiduciario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</si>
</sst>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6"/>
      <color theme="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2" borderId="0" xfId="0" applyFill="1" applyProtection="1"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4" fillId="2" borderId="6" xfId="0" applyNumberFormat="1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6" borderId="0" xfId="0" applyFill="1"/>
    <xf numFmtId="0" fontId="2" fillId="6" borderId="0" xfId="0" applyFont="1" applyFill="1" applyBorder="1" applyAlignment="1" applyProtection="1">
      <alignment horizontal="left"/>
      <protection locked="0"/>
    </xf>
    <xf numFmtId="0" fontId="2" fillId="6" borderId="0" xfId="0" applyFont="1" applyFill="1" applyAlignment="1" applyProtection="1">
      <alignment horizontal="left"/>
      <protection locked="0"/>
    </xf>
    <xf numFmtId="0" fontId="4" fillId="2" borderId="22" xfId="0" applyNumberFormat="1" applyFont="1" applyFill="1" applyBorder="1" applyAlignment="1" applyProtection="1">
      <alignment horizontal="left" vertical="top"/>
      <protection locked="0"/>
    </xf>
    <xf numFmtId="0" fontId="4" fillId="2" borderId="24" xfId="0" applyNumberFormat="1" applyFont="1" applyFill="1" applyBorder="1" applyAlignment="1" applyProtection="1">
      <alignment horizontal="left" vertical="top"/>
      <protection locked="0"/>
    </xf>
    <xf numFmtId="0" fontId="4" fillId="2" borderId="14" xfId="0" applyNumberFormat="1" applyFont="1" applyFill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/>
    <xf numFmtId="0" fontId="10" fillId="6" borderId="0" xfId="0" applyFont="1" applyFill="1" applyAlignment="1">
      <alignment horizontal="justify"/>
    </xf>
    <xf numFmtId="0" fontId="2" fillId="6" borderId="0" xfId="0" applyFont="1" applyFill="1"/>
    <xf numFmtId="0" fontId="0" fillId="7" borderId="0" xfId="0" applyFill="1"/>
    <xf numFmtId="0" fontId="4" fillId="6" borderId="6" xfId="0" applyFont="1" applyFill="1" applyBorder="1"/>
    <xf numFmtId="0" fontId="4" fillId="7" borderId="0" xfId="0" applyFont="1" applyFill="1"/>
    <xf numFmtId="0" fontId="0" fillId="6" borderId="6" xfId="0" applyFill="1" applyBorder="1"/>
    <xf numFmtId="0" fontId="12" fillId="6" borderId="0" xfId="0" applyFont="1" applyFill="1"/>
    <xf numFmtId="0" fontId="11" fillId="6" borderId="0" xfId="0" applyFont="1" applyFill="1"/>
    <xf numFmtId="0" fontId="2" fillId="7" borderId="0" xfId="0" applyFont="1" applyFill="1"/>
    <xf numFmtId="0" fontId="0" fillId="8" borderId="0" xfId="0" applyFill="1" applyBorder="1"/>
    <xf numFmtId="0" fontId="0" fillId="8" borderId="0" xfId="0" applyFill="1"/>
    <xf numFmtId="0" fontId="10" fillId="8" borderId="0" xfId="0" applyFont="1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9" fillId="8" borderId="0" xfId="0" applyFont="1" applyFill="1" applyAlignment="1">
      <alignment horizontal="left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/>
    <xf numFmtId="0" fontId="13" fillId="9" borderId="6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11" fillId="2" borderId="0" xfId="0" applyFont="1" applyFill="1" applyBorder="1" applyAlignment="1" applyProtection="1">
      <alignment vertical="center"/>
      <protection locked="0"/>
    </xf>
    <xf numFmtId="0" fontId="14" fillId="9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Protection="1"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13" fillId="9" borderId="33" xfId="0" applyFont="1" applyFill="1" applyBorder="1" applyAlignment="1" applyProtection="1">
      <alignment horizontal="centerContinuous" vertical="center"/>
      <protection locked="0"/>
    </xf>
    <xf numFmtId="0" fontId="13" fillId="9" borderId="2" xfId="0" applyFont="1" applyFill="1" applyBorder="1" applyAlignment="1" applyProtection="1">
      <alignment horizontal="centerContinuous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horizontal="left"/>
    </xf>
    <xf numFmtId="0" fontId="0" fillId="8" borderId="0" xfId="0" applyFill="1" applyBorder="1" applyProtection="1"/>
    <xf numFmtId="0" fontId="0" fillId="8" borderId="0" xfId="0" applyFill="1" applyProtection="1"/>
    <xf numFmtId="0" fontId="4" fillId="8" borderId="0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horizontal="center"/>
    </xf>
    <xf numFmtId="0" fontId="4" fillId="8" borderId="0" xfId="0" applyFont="1" applyFill="1" applyProtection="1"/>
    <xf numFmtId="0" fontId="19" fillId="8" borderId="0" xfId="0" applyFont="1" applyFill="1" applyBorder="1" applyAlignment="1" applyProtection="1">
      <alignment horizontal="center"/>
    </xf>
    <xf numFmtId="0" fontId="19" fillId="8" borderId="0" xfId="0" applyFont="1" applyFill="1" applyBorder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Protection="1"/>
    <xf numFmtId="0" fontId="0" fillId="2" borderId="0" xfId="0" applyFill="1" applyBorder="1" applyProtection="1"/>
    <xf numFmtId="0" fontId="0" fillId="0" borderId="0" xfId="0" applyProtection="1"/>
    <xf numFmtId="49" fontId="0" fillId="8" borderId="0" xfId="0" applyNumberFormat="1" applyFill="1" applyAlignment="1" applyProtection="1">
      <alignment horizontal="center"/>
    </xf>
    <xf numFmtId="49" fontId="0" fillId="8" borderId="0" xfId="0" applyNumberFormat="1" applyFill="1" applyProtection="1"/>
    <xf numFmtId="0" fontId="0" fillId="8" borderId="0" xfId="0" applyFill="1" applyAlignment="1" applyProtection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0" fillId="6" borderId="0" xfId="0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 applyProtection="1">
      <alignment horizontal="center" vertical="distributed"/>
      <protection locked="0"/>
    </xf>
    <xf numFmtId="0" fontId="1" fillId="10" borderId="6" xfId="0" applyFont="1" applyFill="1" applyBorder="1" applyAlignment="1" applyProtection="1">
      <alignment horizontal="center" vertical="distributed"/>
      <protection locked="0"/>
    </xf>
    <xf numFmtId="0" fontId="1" fillId="10" borderId="1" xfId="0" applyFont="1" applyFill="1" applyBorder="1" applyAlignment="1" applyProtection="1">
      <alignment horizontal="center" vertical="distributed"/>
      <protection locked="0"/>
    </xf>
    <xf numFmtId="0" fontId="13" fillId="11" borderId="28" xfId="0" applyFont="1" applyFill="1" applyBorder="1" applyAlignment="1">
      <alignment horizontal="center" vertical="center" wrapText="1"/>
    </xf>
    <xf numFmtId="0" fontId="13" fillId="11" borderId="30" xfId="0" applyFont="1" applyFill="1" applyBorder="1" applyAlignment="1">
      <alignment horizontal="center" vertical="center" wrapText="1"/>
    </xf>
    <xf numFmtId="0" fontId="13" fillId="11" borderId="2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22" fillId="8" borderId="0" xfId="0" applyFont="1" applyFill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justify" vertical="top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distributed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justify" vertical="top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justify" vertical="center" wrapText="1"/>
      <protection locked="0"/>
    </xf>
    <xf numFmtId="0" fontId="0" fillId="2" borderId="33" xfId="0" applyFill="1" applyBorder="1" applyAlignment="1" applyProtection="1">
      <alignment horizontal="justify" vertical="center" wrapText="1"/>
      <protection locked="0"/>
    </xf>
    <xf numFmtId="0" fontId="0" fillId="2" borderId="33" xfId="0" applyFill="1" applyBorder="1" applyAlignment="1" applyProtection="1">
      <alignment horizontal="justify" vertical="top" wrapText="1"/>
      <protection locked="0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distributed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justify" vertical="top" wrapText="1"/>
      <protection locked="0"/>
    </xf>
    <xf numFmtId="0" fontId="0" fillId="2" borderId="14" xfId="0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distributed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6" borderId="6" xfId="0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justify" vertical="center"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horizontal="justify" vertical="top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0" fontId="13" fillId="11" borderId="36" xfId="0" applyFont="1" applyFill="1" applyBorder="1" applyAlignment="1">
      <alignment horizontal="center" vertical="center" wrapText="1"/>
    </xf>
    <xf numFmtId="0" fontId="13" fillId="11" borderId="37" xfId="0" applyFont="1" applyFill="1" applyBorder="1" applyAlignment="1">
      <alignment horizontal="center" vertical="center" wrapText="1"/>
    </xf>
    <xf numFmtId="0" fontId="13" fillId="11" borderId="38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3" fillId="9" borderId="32" xfId="0" applyFont="1" applyFill="1" applyBorder="1" applyAlignment="1" applyProtection="1">
      <alignment horizontal="center" vertical="center"/>
      <protection locked="0"/>
    </xf>
    <xf numFmtId="0" fontId="13" fillId="9" borderId="33" xfId="0" applyFont="1" applyFill="1" applyBorder="1" applyAlignment="1" applyProtection="1">
      <alignment horizontal="center" vertical="center"/>
      <protection locked="0"/>
    </xf>
    <xf numFmtId="0" fontId="13" fillId="9" borderId="36" xfId="0" applyFont="1" applyFill="1" applyBorder="1" applyAlignment="1" applyProtection="1">
      <alignment horizontal="center" vertical="center"/>
      <protection locked="0"/>
    </xf>
    <xf numFmtId="0" fontId="13" fillId="9" borderId="37" xfId="0" applyFont="1" applyFill="1" applyBorder="1" applyAlignment="1" applyProtection="1">
      <alignment horizontal="center" vertical="center"/>
      <protection locked="0"/>
    </xf>
    <xf numFmtId="0" fontId="13" fillId="9" borderId="38" xfId="0" applyFont="1" applyFill="1" applyBorder="1" applyAlignment="1" applyProtection="1">
      <alignment horizontal="center" vertical="center"/>
      <protection locked="0"/>
    </xf>
    <xf numFmtId="0" fontId="14" fillId="9" borderId="17" xfId="0" applyFont="1" applyFill="1" applyBorder="1" applyAlignment="1" applyProtection="1">
      <alignment horizontal="center" wrapText="1"/>
      <protection locked="0"/>
    </xf>
    <xf numFmtId="0" fontId="14" fillId="9" borderId="11" xfId="0" applyFont="1" applyFill="1" applyBorder="1" applyAlignment="1" applyProtection="1">
      <alignment horizontal="center" wrapText="1"/>
      <protection locked="0"/>
    </xf>
    <xf numFmtId="0" fontId="13" fillId="9" borderId="7" xfId="0" applyFont="1" applyFill="1" applyBorder="1" applyAlignment="1" applyProtection="1">
      <alignment horizontal="center"/>
      <protection locked="0"/>
    </xf>
    <xf numFmtId="0" fontId="13" fillId="9" borderId="8" xfId="0" applyFont="1" applyFill="1" applyBorder="1" applyAlignment="1" applyProtection="1">
      <alignment horizontal="center"/>
      <protection locked="0"/>
    </xf>
    <xf numFmtId="0" fontId="13" fillId="9" borderId="32" xfId="0" applyFont="1" applyFill="1" applyBorder="1" applyAlignment="1" applyProtection="1">
      <alignment horizontal="center"/>
      <protection locked="0"/>
    </xf>
    <xf numFmtId="0" fontId="13" fillId="9" borderId="4" xfId="0" applyFont="1" applyFill="1" applyBorder="1" applyAlignment="1" applyProtection="1">
      <alignment horizontal="center"/>
      <protection locked="0"/>
    </xf>
    <xf numFmtId="0" fontId="14" fillId="9" borderId="32" xfId="0" applyFont="1" applyFill="1" applyBorder="1" applyAlignment="1" applyProtection="1">
      <alignment horizontal="center" wrapText="1"/>
      <protection locked="0"/>
    </xf>
    <xf numFmtId="0" fontId="14" fillId="9" borderId="33" xfId="0" applyFont="1" applyFill="1" applyBorder="1" applyAlignment="1" applyProtection="1">
      <alignment horizontal="center" wrapText="1"/>
      <protection locked="0"/>
    </xf>
    <xf numFmtId="0" fontId="13" fillId="9" borderId="32" xfId="0" applyFont="1" applyFill="1" applyBorder="1" applyAlignment="1" applyProtection="1">
      <alignment horizontal="center" vertical="center" wrapText="1"/>
      <protection locked="0"/>
    </xf>
    <xf numFmtId="0" fontId="13" fillId="9" borderId="33" xfId="0" applyFont="1" applyFill="1" applyBorder="1" applyAlignment="1" applyProtection="1">
      <alignment horizontal="center" vertical="center" wrapText="1"/>
      <protection locked="0"/>
    </xf>
    <xf numFmtId="0" fontId="13" fillId="9" borderId="18" xfId="0" applyFont="1" applyFill="1" applyBorder="1" applyAlignment="1" applyProtection="1">
      <alignment horizontal="center" vertical="center"/>
      <protection locked="0"/>
    </xf>
    <xf numFmtId="0" fontId="13" fillId="9" borderId="20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Alignment="1" applyProtection="1">
      <alignment horizontal="left" wrapText="1"/>
    </xf>
    <xf numFmtId="0" fontId="1" fillId="8" borderId="0" xfId="0" applyFont="1" applyFill="1" applyAlignment="1" applyProtection="1">
      <alignment horizontal="left" wrapText="1"/>
    </xf>
    <xf numFmtId="0" fontId="2" fillId="8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13" fillId="9" borderId="23" xfId="0" applyFont="1" applyFill="1" applyBorder="1" applyAlignment="1" applyProtection="1">
      <alignment horizontal="left"/>
      <protection locked="0"/>
    </xf>
    <xf numFmtId="0" fontId="13" fillId="9" borderId="33" xfId="0" applyFont="1" applyFill="1" applyBorder="1" applyAlignment="1" applyProtection="1">
      <alignment horizontal="left"/>
      <protection locked="0"/>
    </xf>
    <xf numFmtId="0" fontId="13" fillId="9" borderId="39" xfId="0" applyFont="1" applyFill="1" applyBorder="1" applyAlignment="1" applyProtection="1">
      <alignment horizontal="left"/>
      <protection locked="0"/>
    </xf>
    <xf numFmtId="0" fontId="13" fillId="9" borderId="16" xfId="0" applyFont="1" applyFill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49" fontId="0" fillId="0" borderId="20" xfId="0" applyNumberFormat="1" applyBorder="1" applyAlignment="1" applyProtection="1">
      <alignment horizontal="center" vertical="top"/>
      <protection locked="0"/>
    </xf>
    <xf numFmtId="0" fontId="0" fillId="2" borderId="12" xfId="0" applyFill="1" applyBorder="1" applyAlignment="1" applyProtection="1">
      <alignment horizontal="justify" vertical="top"/>
      <protection locked="0"/>
    </xf>
    <xf numFmtId="0" fontId="0" fillId="2" borderId="13" xfId="0" applyFill="1" applyBorder="1" applyAlignment="1" applyProtection="1">
      <alignment horizontal="justify" vertical="top"/>
      <protection locked="0"/>
    </xf>
    <xf numFmtId="0" fontId="0" fillId="2" borderId="15" xfId="0" applyFill="1" applyBorder="1" applyAlignment="1" applyProtection="1">
      <alignment horizontal="justify" vertical="top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top"/>
      <protection locked="0"/>
    </xf>
    <xf numFmtId="0" fontId="0" fillId="2" borderId="14" xfId="0" applyFill="1" applyBorder="1" applyAlignment="1" applyProtection="1">
      <alignment horizontal="justify" vertical="top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top"/>
      <protection locked="0"/>
    </xf>
    <xf numFmtId="49" fontId="0" fillId="0" borderId="13" xfId="0" applyNumberFormat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 vertical="top"/>
      <protection locked="0"/>
    </xf>
    <xf numFmtId="49" fontId="0" fillId="0" borderId="15" xfId="0" applyNumberFormat="1" applyBorder="1" applyAlignment="1" applyProtection="1">
      <alignment horizontal="center" vertical="top"/>
      <protection locked="0"/>
    </xf>
    <xf numFmtId="0" fontId="4" fillId="0" borderId="25" xfId="0" applyNumberFormat="1" applyFont="1" applyBorder="1" applyAlignment="1" applyProtection="1">
      <alignment horizontal="center" vertical="top"/>
      <protection locked="0"/>
    </xf>
    <xf numFmtId="0" fontId="13" fillId="9" borderId="34" xfId="0" applyFont="1" applyFill="1" applyBorder="1" applyAlignment="1" applyProtection="1">
      <alignment horizontal="center" vertical="center"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 applyProtection="1">
      <alignment horizontal="center" vertical="center"/>
      <protection locked="0"/>
    </xf>
    <xf numFmtId="0" fontId="13" fillId="9" borderId="19" xfId="0" applyFont="1" applyFill="1" applyBorder="1" applyAlignment="1" applyProtection="1">
      <alignment horizontal="center" vertical="center"/>
      <protection locked="0"/>
    </xf>
    <xf numFmtId="0" fontId="13" fillId="9" borderId="2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13" fillId="9" borderId="31" xfId="0" applyFont="1" applyFill="1" applyBorder="1" applyAlignment="1" applyProtection="1">
      <alignment horizontal="center" vertical="center" textRotation="90" wrapText="1"/>
      <protection locked="0"/>
    </xf>
    <xf numFmtId="0" fontId="13" fillId="9" borderId="13" xfId="0" applyFont="1" applyFill="1" applyBorder="1" applyAlignment="1" applyProtection="1">
      <alignment horizontal="center" vertical="center" textRotation="90" wrapText="1"/>
      <protection locked="0"/>
    </xf>
    <xf numFmtId="0" fontId="15" fillId="9" borderId="14" xfId="0" applyFont="1" applyFill="1" applyBorder="1" applyAlignment="1" applyProtection="1">
      <alignment horizontal="center" vertical="center" textRotation="90" wrapText="1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13" fillId="9" borderId="35" xfId="0" applyFont="1" applyFill="1" applyBorder="1" applyAlignment="1" applyProtection="1">
      <alignment horizontal="center" vertical="center"/>
      <protection locked="0"/>
    </xf>
    <xf numFmtId="0" fontId="13" fillId="9" borderId="10" xfId="0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2" fillId="10" borderId="12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distributed"/>
      <protection locked="0"/>
    </xf>
    <xf numFmtId="0" fontId="2" fillId="10" borderId="1" xfId="0" applyFont="1" applyFill="1" applyBorder="1" applyAlignment="1" applyProtection="1">
      <alignment horizontal="center" vertical="distributed"/>
      <protection locked="0"/>
    </xf>
    <xf numFmtId="0" fontId="2" fillId="10" borderId="3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2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6"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rgb="FF00FF00"/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66FF33"/>
      <color rgb="FF00FF00"/>
      <color rgb="FF25E3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17146</xdr:colOff>
      <xdr:row>1</xdr:row>
      <xdr:rowOff>3810</xdr:rowOff>
    </xdr:from>
    <xdr:to>
      <xdr:col>2</xdr:col>
      <xdr:colOff>861060</xdr:colOff>
      <xdr:row>3</xdr:row>
      <xdr:rowOff>3810</xdr:rowOff>
    </xdr:to>
    <xdr:pic>
      <xdr:nvPicPr>
        <xdr:cNvPr id="41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6" y="171450"/>
          <a:ext cx="1186814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910589</xdr:colOff>
      <xdr:row>2</xdr:row>
      <xdr:rowOff>19050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61925"/>
          <a:ext cx="117728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453389</xdr:colOff>
      <xdr:row>1</xdr:row>
      <xdr:rowOff>457200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61925"/>
          <a:ext cx="117728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J114"/>
  <sheetViews>
    <sheetView topLeftCell="A16" zoomScaleNormal="100" zoomScaleSheetLayoutView="100" workbookViewId="0">
      <selection activeCell="D16" sqref="D16:D19"/>
    </sheetView>
  </sheetViews>
  <sheetFormatPr defaultColWidth="11.42578125" defaultRowHeight="12.75" x14ac:dyDescent="0.2"/>
  <cols>
    <col min="1" max="1" width="5.7109375" style="29" customWidth="1"/>
    <col min="2" max="2" width="5" style="31" customWidth="1"/>
    <col min="3" max="3" width="21.140625" style="32" customWidth="1"/>
    <col min="4" max="4" width="19.140625" style="32" customWidth="1"/>
    <col min="5" max="6" width="19.85546875" style="33" customWidth="1"/>
    <col min="7" max="7" width="53.140625" style="32" customWidth="1"/>
    <col min="8" max="8" width="11.42578125" style="29" customWidth="1"/>
    <col min="9" max="9" width="0.140625" style="29" customWidth="1"/>
    <col min="10" max="16384" width="11.42578125" style="29"/>
  </cols>
  <sheetData>
    <row r="1" spans="2:10" s="28" customFormat="1" x14ac:dyDescent="0.2">
      <c r="B1" s="73"/>
      <c r="C1" s="74"/>
      <c r="D1" s="74"/>
      <c r="E1" s="75"/>
      <c r="F1" s="75"/>
      <c r="G1" s="74"/>
    </row>
    <row r="2" spans="2:10" s="28" customFormat="1" ht="20.25" x14ac:dyDescent="0.2">
      <c r="B2" s="140" t="s">
        <v>8</v>
      </c>
      <c r="C2" s="140"/>
      <c r="D2" s="140"/>
      <c r="E2" s="140"/>
      <c r="F2" s="140"/>
      <c r="G2" s="140"/>
    </row>
    <row r="3" spans="2:10" s="28" customFormat="1" ht="15.75" x14ac:dyDescent="0.25">
      <c r="B3" s="141" t="s">
        <v>21</v>
      </c>
      <c r="C3" s="141"/>
      <c r="D3" s="141"/>
      <c r="E3" s="141"/>
      <c r="F3" s="141"/>
      <c r="G3" s="141"/>
    </row>
    <row r="4" spans="2:10" s="28" customFormat="1" x14ac:dyDescent="0.2">
      <c r="B4" s="76"/>
      <c r="C4" s="77"/>
      <c r="D4" s="77"/>
      <c r="E4" s="78"/>
      <c r="F4" s="78"/>
      <c r="G4" s="77"/>
    </row>
    <row r="5" spans="2:10" s="28" customFormat="1" ht="13.5" thickBot="1" x14ac:dyDescent="0.25">
      <c r="B5" s="79"/>
      <c r="C5" s="79"/>
      <c r="D5" s="79"/>
      <c r="E5" s="79"/>
      <c r="F5" s="79"/>
      <c r="G5" s="79"/>
    </row>
    <row r="6" spans="2:10" s="28" customFormat="1" ht="30" customHeight="1" thickBot="1" x14ac:dyDescent="0.25">
      <c r="B6" s="142" t="s">
        <v>22</v>
      </c>
      <c r="C6" s="143"/>
      <c r="D6" s="143"/>
      <c r="E6" s="143"/>
      <c r="F6" s="143"/>
      <c r="G6" s="144"/>
    </row>
    <row r="7" spans="2:10" ht="26.25" thickBot="1" x14ac:dyDescent="0.25">
      <c r="B7" s="86" t="s">
        <v>234</v>
      </c>
      <c r="C7" s="88" t="s">
        <v>198</v>
      </c>
      <c r="D7" s="88" t="s">
        <v>23</v>
      </c>
      <c r="E7" s="88" t="s">
        <v>1</v>
      </c>
      <c r="F7" s="88" t="s">
        <v>2</v>
      </c>
      <c r="G7" s="87" t="s">
        <v>197</v>
      </c>
    </row>
    <row r="8" spans="2:10" ht="13.5" x14ac:dyDescent="0.25">
      <c r="B8" s="145">
        <v>1</v>
      </c>
      <c r="C8" s="126"/>
      <c r="D8" s="129"/>
      <c r="E8" s="126"/>
      <c r="F8" s="150"/>
      <c r="G8" s="92"/>
      <c r="I8" s="30" t="s">
        <v>51</v>
      </c>
    </row>
    <row r="9" spans="2:10" ht="13.5" x14ac:dyDescent="0.25">
      <c r="B9" s="134"/>
      <c r="C9" s="128"/>
      <c r="D9" s="128"/>
      <c r="E9" s="123"/>
      <c r="F9" s="120"/>
      <c r="G9" s="89"/>
      <c r="I9" s="30" t="s">
        <v>235</v>
      </c>
      <c r="J9" s="29" t="s">
        <v>240</v>
      </c>
    </row>
    <row r="10" spans="2:10" ht="13.5" x14ac:dyDescent="0.25">
      <c r="B10" s="134"/>
      <c r="C10" s="128"/>
      <c r="D10" s="128"/>
      <c r="E10" s="123"/>
      <c r="F10" s="120"/>
      <c r="G10" s="89"/>
      <c r="I10" s="30" t="s">
        <v>237</v>
      </c>
    </row>
    <row r="11" spans="2:10" ht="53.25" customHeight="1" x14ac:dyDescent="0.25">
      <c r="B11" s="134"/>
      <c r="C11" s="128"/>
      <c r="D11" s="128"/>
      <c r="E11" s="123"/>
      <c r="F11" s="121"/>
      <c r="G11" s="35"/>
      <c r="I11" s="30" t="s">
        <v>236</v>
      </c>
    </row>
    <row r="12" spans="2:10" ht="25.5" x14ac:dyDescent="0.2">
      <c r="B12" s="145">
        <v>2</v>
      </c>
      <c r="C12" s="126" t="s">
        <v>251</v>
      </c>
      <c r="D12" s="129" t="s">
        <v>283</v>
      </c>
      <c r="E12" s="126" t="s">
        <v>241</v>
      </c>
      <c r="F12" s="119" t="s">
        <v>239</v>
      </c>
      <c r="G12" s="92" t="s">
        <v>248</v>
      </c>
    </row>
    <row r="13" spans="2:10" ht="38.25" x14ac:dyDescent="0.2">
      <c r="B13" s="145"/>
      <c r="C13" s="128"/>
      <c r="D13" s="128"/>
      <c r="E13" s="123"/>
      <c r="F13" s="120"/>
      <c r="G13" s="92" t="s">
        <v>249</v>
      </c>
    </row>
    <row r="14" spans="2:10" x14ac:dyDescent="0.2">
      <c r="B14" s="145"/>
      <c r="C14" s="128"/>
      <c r="D14" s="128"/>
      <c r="E14" s="123"/>
      <c r="F14" s="120"/>
    </row>
    <row r="15" spans="2:10" ht="65.25" customHeight="1" thickBot="1" x14ac:dyDescent="0.25">
      <c r="B15" s="145"/>
      <c r="C15" s="128"/>
      <c r="D15" s="128"/>
      <c r="E15" s="123"/>
      <c r="F15" s="121"/>
      <c r="G15" s="34"/>
    </row>
    <row r="16" spans="2:10" ht="25.5" x14ac:dyDescent="0.2">
      <c r="B16" s="146">
        <v>3</v>
      </c>
      <c r="C16" s="126" t="s">
        <v>251</v>
      </c>
      <c r="D16" s="126" t="s">
        <v>51</v>
      </c>
      <c r="E16" s="126" t="s">
        <v>282</v>
      </c>
      <c r="F16" s="119" t="s">
        <v>242</v>
      </c>
      <c r="G16" s="92" t="s">
        <v>245</v>
      </c>
    </row>
    <row r="17" spans="2:7" ht="38.25" x14ac:dyDescent="0.2">
      <c r="B17" s="147"/>
      <c r="C17" s="128"/>
      <c r="D17" s="128"/>
      <c r="E17" s="123"/>
      <c r="F17" s="120"/>
      <c r="G17" s="92" t="s">
        <v>246</v>
      </c>
    </row>
    <row r="18" spans="2:7" x14ac:dyDescent="0.2">
      <c r="B18" s="147"/>
      <c r="C18" s="128"/>
      <c r="D18" s="128"/>
      <c r="E18" s="123"/>
      <c r="F18" s="120"/>
      <c r="G18" s="34"/>
    </row>
    <row r="19" spans="2:7" ht="105" customHeight="1" thickBot="1" x14ac:dyDescent="0.25">
      <c r="B19" s="147"/>
      <c r="C19" s="128"/>
      <c r="D19" s="128"/>
      <c r="E19" s="123"/>
      <c r="F19" s="121"/>
      <c r="G19" s="34"/>
    </row>
    <row r="20" spans="2:7" ht="25.5" x14ac:dyDescent="0.2">
      <c r="B20" s="148" t="s">
        <v>24</v>
      </c>
      <c r="C20" s="126" t="s">
        <v>252</v>
      </c>
      <c r="D20" s="126" t="s">
        <v>240</v>
      </c>
      <c r="E20" s="126" t="s">
        <v>243</v>
      </c>
      <c r="F20" s="119" t="s">
        <v>244</v>
      </c>
      <c r="G20" s="92" t="s">
        <v>247</v>
      </c>
    </row>
    <row r="21" spans="2:7" ht="51" x14ac:dyDescent="0.2">
      <c r="B21" s="149"/>
      <c r="C21" s="128"/>
      <c r="D21" s="128"/>
      <c r="E21" s="123"/>
      <c r="F21" s="120"/>
      <c r="G21" s="92" t="s">
        <v>250</v>
      </c>
    </row>
    <row r="22" spans="2:7" x14ac:dyDescent="0.2">
      <c r="B22" s="149"/>
      <c r="C22" s="128"/>
      <c r="D22" s="128"/>
      <c r="E22" s="123"/>
      <c r="F22" s="120"/>
      <c r="G22" s="34"/>
    </row>
    <row r="23" spans="2:7" ht="13.5" thickBot="1" x14ac:dyDescent="0.25">
      <c r="B23" s="149"/>
      <c r="C23" s="128"/>
      <c r="D23" s="128"/>
      <c r="E23" s="123"/>
      <c r="F23" s="121"/>
      <c r="G23" s="34"/>
    </row>
    <row r="24" spans="2:7" x14ac:dyDescent="0.2">
      <c r="B24" s="137" t="s">
        <v>25</v>
      </c>
      <c r="C24" s="126"/>
      <c r="D24" s="126"/>
      <c r="E24" s="126"/>
      <c r="F24" s="119"/>
      <c r="G24" s="92"/>
    </row>
    <row r="25" spans="2:7" x14ac:dyDescent="0.2">
      <c r="B25" s="138"/>
      <c r="C25" s="128"/>
      <c r="D25" s="128"/>
      <c r="E25" s="123"/>
      <c r="F25" s="120"/>
      <c r="G25" s="92"/>
    </row>
    <row r="26" spans="2:7" x14ac:dyDescent="0.2">
      <c r="B26" s="138"/>
      <c r="C26" s="128"/>
      <c r="D26" s="128"/>
      <c r="E26" s="123"/>
      <c r="F26" s="120"/>
      <c r="G26" s="34"/>
    </row>
    <row r="27" spans="2:7" ht="13.5" thickBot="1" x14ac:dyDescent="0.25">
      <c r="B27" s="138"/>
      <c r="C27" s="128"/>
      <c r="D27" s="128"/>
      <c r="E27" s="123"/>
      <c r="F27" s="121"/>
      <c r="G27" s="34"/>
    </row>
    <row r="28" spans="2:7" x14ac:dyDescent="0.2">
      <c r="B28" s="137" t="s">
        <v>26</v>
      </c>
      <c r="C28" s="126"/>
      <c r="D28" s="129"/>
      <c r="E28" s="126"/>
      <c r="F28" s="119"/>
      <c r="G28" s="93"/>
    </row>
    <row r="29" spans="2:7" x14ac:dyDescent="0.2">
      <c r="B29" s="138"/>
      <c r="C29" s="128"/>
      <c r="D29" s="128"/>
      <c r="E29" s="123"/>
      <c r="F29" s="120"/>
      <c r="G29" s="35"/>
    </row>
    <row r="30" spans="2:7" ht="72.75" customHeight="1" x14ac:dyDescent="0.2">
      <c r="B30" s="138"/>
      <c r="C30" s="128"/>
      <c r="D30" s="128"/>
      <c r="E30" s="123"/>
      <c r="F30" s="121"/>
      <c r="G30" s="35"/>
    </row>
    <row r="31" spans="2:7" ht="38.25" x14ac:dyDescent="0.2">
      <c r="B31" s="133" t="s">
        <v>27</v>
      </c>
      <c r="C31" s="126" t="s">
        <v>253</v>
      </c>
      <c r="D31" s="129" t="s">
        <v>51</v>
      </c>
      <c r="E31" s="126" t="s">
        <v>254</v>
      </c>
      <c r="F31" s="119" t="s">
        <v>261</v>
      </c>
      <c r="G31" s="92" t="s">
        <v>255</v>
      </c>
    </row>
    <row r="32" spans="2:7" x14ac:dyDescent="0.2">
      <c r="B32" s="134"/>
      <c r="C32" s="128"/>
      <c r="D32" s="128"/>
      <c r="E32" s="123"/>
      <c r="F32" s="120"/>
      <c r="G32" s="35"/>
    </row>
    <row r="33" spans="2:7" ht="13.5" thickBot="1" x14ac:dyDescent="0.25">
      <c r="B33" s="134"/>
      <c r="C33" s="128"/>
      <c r="D33" s="128"/>
      <c r="E33" s="123"/>
      <c r="F33" s="121"/>
      <c r="G33" s="35"/>
    </row>
    <row r="34" spans="2:7" ht="63.75" x14ac:dyDescent="0.2">
      <c r="B34" s="132" t="s">
        <v>28</v>
      </c>
      <c r="C34" s="126" t="s">
        <v>256</v>
      </c>
      <c r="D34" s="129" t="s">
        <v>51</v>
      </c>
      <c r="E34" s="126" t="s">
        <v>257</v>
      </c>
      <c r="F34" s="119" t="s">
        <v>262</v>
      </c>
      <c r="G34" s="92" t="s">
        <v>258</v>
      </c>
    </row>
    <row r="35" spans="2:7" x14ac:dyDescent="0.2">
      <c r="B35" s="134"/>
      <c r="C35" s="128"/>
      <c r="D35" s="128"/>
      <c r="E35" s="123"/>
      <c r="F35" s="120"/>
      <c r="G35" s="35"/>
    </row>
    <row r="36" spans="2:7" ht="68.25" customHeight="1" thickBot="1" x14ac:dyDescent="0.25">
      <c r="B36" s="134"/>
      <c r="C36" s="128"/>
      <c r="D36" s="128"/>
      <c r="E36" s="123"/>
      <c r="F36" s="121"/>
      <c r="G36" s="35"/>
    </row>
    <row r="37" spans="2:7" x14ac:dyDescent="0.2">
      <c r="B37" s="132"/>
      <c r="C37" s="126"/>
      <c r="D37" s="129"/>
      <c r="E37" s="126"/>
      <c r="F37" s="119"/>
      <c r="G37" s="93"/>
    </row>
    <row r="38" spans="2:7" x14ac:dyDescent="0.2">
      <c r="B38" s="133"/>
      <c r="C38" s="128"/>
      <c r="D38" s="128"/>
      <c r="E38" s="123"/>
      <c r="F38" s="120"/>
      <c r="G38" s="34"/>
    </row>
    <row r="39" spans="2:7" x14ac:dyDescent="0.2">
      <c r="B39" s="133"/>
      <c r="C39" s="128"/>
      <c r="D39" s="128"/>
      <c r="E39" s="123"/>
      <c r="F39" s="121"/>
      <c r="G39" s="34"/>
    </row>
    <row r="40" spans="2:7" x14ac:dyDescent="0.2">
      <c r="B40" s="133" t="s">
        <v>10</v>
      </c>
      <c r="C40" s="126" t="s">
        <v>259</v>
      </c>
      <c r="D40" s="129" t="s">
        <v>51</v>
      </c>
      <c r="E40" s="126" t="s">
        <v>260</v>
      </c>
      <c r="F40" s="119" t="s">
        <v>262</v>
      </c>
      <c r="G40" s="92"/>
    </row>
    <row r="41" spans="2:7" ht="25.5" x14ac:dyDescent="0.2">
      <c r="B41" s="133"/>
      <c r="C41" s="128"/>
      <c r="D41" s="128"/>
      <c r="E41" s="123"/>
      <c r="F41" s="120"/>
      <c r="G41" s="92" t="s">
        <v>263</v>
      </c>
    </row>
    <row r="42" spans="2:7" x14ac:dyDescent="0.2">
      <c r="B42" s="133"/>
      <c r="C42" s="128"/>
      <c r="D42" s="128"/>
      <c r="E42" s="123"/>
      <c r="F42" s="120"/>
      <c r="G42" s="34"/>
    </row>
    <row r="43" spans="2:7" x14ac:dyDescent="0.2">
      <c r="B43" s="133"/>
      <c r="C43" s="128"/>
      <c r="D43" s="128"/>
      <c r="E43" s="123"/>
      <c r="F43" s="121"/>
      <c r="G43" s="34"/>
    </row>
    <row r="44" spans="2:7" x14ac:dyDescent="0.2">
      <c r="B44" s="133" t="s">
        <v>11</v>
      </c>
      <c r="C44" s="126"/>
      <c r="D44" s="129"/>
      <c r="E44" s="126"/>
      <c r="F44" s="119"/>
      <c r="G44" s="92"/>
    </row>
    <row r="45" spans="2:7" x14ac:dyDescent="0.2">
      <c r="B45" s="134"/>
      <c r="C45" s="128"/>
      <c r="D45" s="128"/>
      <c r="E45" s="123"/>
      <c r="F45" s="120"/>
      <c r="G45" s="89"/>
    </row>
    <row r="46" spans="2:7" x14ac:dyDescent="0.2">
      <c r="B46" s="134"/>
      <c r="C46" s="128"/>
      <c r="D46" s="128"/>
      <c r="E46" s="123"/>
      <c r="F46" s="120"/>
      <c r="G46" s="35"/>
    </row>
    <row r="47" spans="2:7" ht="13.5" thickBot="1" x14ac:dyDescent="0.25">
      <c r="B47" s="134"/>
      <c r="C47" s="128"/>
      <c r="D47" s="128"/>
      <c r="E47" s="123"/>
      <c r="F47" s="121"/>
      <c r="G47" s="35"/>
    </row>
    <row r="48" spans="2:7" x14ac:dyDescent="0.2">
      <c r="B48" s="132" t="s">
        <v>12</v>
      </c>
      <c r="C48" s="126"/>
      <c r="D48" s="129"/>
      <c r="E48" s="126"/>
      <c r="F48" s="119"/>
      <c r="G48" s="92"/>
    </row>
    <row r="49" spans="2:7" x14ac:dyDescent="0.2">
      <c r="B49" s="133"/>
      <c r="C49" s="128"/>
      <c r="D49" s="128"/>
      <c r="E49" s="123"/>
      <c r="F49" s="120"/>
      <c r="G49" s="92"/>
    </row>
    <row r="50" spans="2:7" x14ac:dyDescent="0.2">
      <c r="B50" s="134"/>
      <c r="C50" s="128"/>
      <c r="D50" s="128"/>
      <c r="E50" s="123"/>
      <c r="F50" s="120"/>
      <c r="G50" s="35"/>
    </row>
    <row r="51" spans="2:7" ht="13.5" thickBot="1" x14ac:dyDescent="0.25">
      <c r="B51" s="134"/>
      <c r="C51" s="128"/>
      <c r="D51" s="128"/>
      <c r="E51" s="123"/>
      <c r="F51" s="121"/>
      <c r="G51" s="35"/>
    </row>
    <row r="52" spans="2:7" ht="25.5" x14ac:dyDescent="0.2">
      <c r="B52" s="132" t="s">
        <v>13</v>
      </c>
      <c r="C52" s="126" t="s">
        <v>264</v>
      </c>
      <c r="D52" s="129" t="s">
        <v>51</v>
      </c>
      <c r="E52" s="126" t="s">
        <v>265</v>
      </c>
      <c r="F52" s="119" t="s">
        <v>266</v>
      </c>
      <c r="G52" s="93" t="s">
        <v>267</v>
      </c>
    </row>
    <row r="53" spans="2:7" x14ac:dyDescent="0.2">
      <c r="B53" s="133"/>
      <c r="C53" s="128"/>
      <c r="D53" s="128"/>
      <c r="E53" s="123"/>
      <c r="F53" s="120"/>
      <c r="G53" s="92" t="s">
        <v>268</v>
      </c>
    </row>
    <row r="54" spans="2:7" ht="13.5" thickBot="1" x14ac:dyDescent="0.25">
      <c r="B54" s="133"/>
      <c r="C54" s="128"/>
      <c r="D54" s="128"/>
      <c r="E54" s="123"/>
      <c r="F54" s="121"/>
      <c r="G54" s="34"/>
    </row>
    <row r="55" spans="2:7" x14ac:dyDescent="0.2">
      <c r="B55" s="132" t="s">
        <v>14</v>
      </c>
      <c r="C55" s="126"/>
      <c r="D55" s="129"/>
      <c r="E55" s="126"/>
      <c r="F55" s="119"/>
      <c r="G55" s="93"/>
    </row>
    <row r="56" spans="2:7" x14ac:dyDescent="0.2">
      <c r="B56" s="134"/>
      <c r="C56" s="128"/>
      <c r="D56" s="128"/>
      <c r="E56" s="123"/>
      <c r="F56" s="120"/>
      <c r="G56" s="35"/>
    </row>
    <row r="57" spans="2:7" x14ac:dyDescent="0.2">
      <c r="B57" s="134"/>
      <c r="C57" s="128"/>
      <c r="D57" s="128"/>
      <c r="E57" s="123"/>
      <c r="F57" s="120"/>
      <c r="G57" s="35"/>
    </row>
    <row r="58" spans="2:7" x14ac:dyDescent="0.2">
      <c r="B58" s="134"/>
      <c r="C58" s="128"/>
      <c r="D58" s="128"/>
      <c r="E58" s="123"/>
      <c r="F58" s="121"/>
      <c r="G58" s="35"/>
    </row>
    <row r="59" spans="2:7" x14ac:dyDescent="0.2">
      <c r="B59" s="133" t="s">
        <v>15</v>
      </c>
      <c r="C59" s="126"/>
      <c r="D59" s="126"/>
      <c r="E59" s="126"/>
      <c r="F59" s="119"/>
      <c r="G59" s="92"/>
    </row>
    <row r="60" spans="2:7" x14ac:dyDescent="0.2">
      <c r="B60" s="134"/>
      <c r="C60" s="128"/>
      <c r="D60" s="128"/>
      <c r="E60" s="123"/>
      <c r="F60" s="120"/>
      <c r="G60" s="35"/>
    </row>
    <row r="61" spans="2:7" ht="44.25" customHeight="1" thickBot="1" x14ac:dyDescent="0.25">
      <c r="B61" s="134"/>
      <c r="C61" s="128"/>
      <c r="D61" s="128"/>
      <c r="E61" s="123"/>
      <c r="F61" s="121"/>
      <c r="G61" s="35"/>
    </row>
    <row r="62" spans="2:7" ht="25.5" x14ac:dyDescent="0.2">
      <c r="B62" s="132" t="s">
        <v>16</v>
      </c>
      <c r="C62" s="126" t="s">
        <v>269</v>
      </c>
      <c r="D62" s="126" t="s">
        <v>51</v>
      </c>
      <c r="E62" s="126" t="s">
        <v>270</v>
      </c>
      <c r="F62" s="119" t="s">
        <v>271</v>
      </c>
      <c r="G62" s="92" t="s">
        <v>272</v>
      </c>
    </row>
    <row r="63" spans="2:7" x14ac:dyDescent="0.2">
      <c r="B63" s="134"/>
      <c r="C63" s="128"/>
      <c r="D63" s="128"/>
      <c r="E63" s="123"/>
      <c r="F63" s="120"/>
      <c r="G63" s="35"/>
    </row>
    <row r="64" spans="2:7" x14ac:dyDescent="0.2">
      <c r="B64" s="134"/>
      <c r="C64" s="128"/>
      <c r="D64" s="128"/>
      <c r="E64" s="123"/>
      <c r="F64" s="120"/>
      <c r="G64" s="35"/>
    </row>
    <row r="65" spans="2:7" x14ac:dyDescent="0.2">
      <c r="B65" s="134"/>
      <c r="C65" s="128"/>
      <c r="D65" s="128"/>
      <c r="E65" s="123"/>
      <c r="F65" s="120"/>
      <c r="G65" s="35"/>
    </row>
    <row r="66" spans="2:7" ht="13.5" thickBot="1" x14ac:dyDescent="0.25">
      <c r="B66" s="134"/>
      <c r="C66" s="128"/>
      <c r="D66" s="128"/>
      <c r="E66" s="123"/>
      <c r="F66" s="121"/>
      <c r="G66" s="35"/>
    </row>
    <row r="67" spans="2:7" x14ac:dyDescent="0.2">
      <c r="B67" s="132" t="s">
        <v>17</v>
      </c>
      <c r="C67" s="129"/>
      <c r="D67" s="129"/>
      <c r="E67" s="122"/>
      <c r="F67" s="120"/>
      <c r="G67" s="34"/>
    </row>
    <row r="68" spans="2:7" x14ac:dyDescent="0.2">
      <c r="B68" s="134"/>
      <c r="C68" s="128"/>
      <c r="D68" s="128"/>
      <c r="E68" s="123"/>
      <c r="F68" s="120"/>
      <c r="G68" s="35"/>
    </row>
    <row r="69" spans="2:7" x14ac:dyDescent="0.2">
      <c r="B69" s="134"/>
      <c r="C69" s="128"/>
      <c r="D69" s="128"/>
      <c r="E69" s="123"/>
      <c r="F69" s="120"/>
      <c r="G69" s="35"/>
    </row>
    <row r="70" spans="2:7" x14ac:dyDescent="0.2">
      <c r="B70" s="134"/>
      <c r="C70" s="128"/>
      <c r="D70" s="128"/>
      <c r="E70" s="123"/>
      <c r="F70" s="120"/>
      <c r="G70" s="35"/>
    </row>
    <row r="71" spans="2:7" x14ac:dyDescent="0.2">
      <c r="B71" s="134"/>
      <c r="C71" s="128"/>
      <c r="D71" s="128"/>
      <c r="E71" s="123"/>
      <c r="F71" s="120"/>
      <c r="G71" s="35"/>
    </row>
    <row r="72" spans="2:7" x14ac:dyDescent="0.2">
      <c r="B72" s="134"/>
      <c r="C72" s="128"/>
      <c r="D72" s="128"/>
      <c r="E72" s="123"/>
      <c r="F72" s="120"/>
      <c r="G72" s="35"/>
    </row>
    <row r="73" spans="2:7" x14ac:dyDescent="0.2">
      <c r="B73" s="134"/>
      <c r="C73" s="130"/>
      <c r="D73" s="130"/>
      <c r="E73" s="124"/>
      <c r="F73" s="120"/>
      <c r="G73" s="35"/>
    </row>
    <row r="74" spans="2:7" x14ac:dyDescent="0.2">
      <c r="B74" s="134"/>
      <c r="C74" s="130"/>
      <c r="D74" s="130"/>
      <c r="E74" s="124"/>
      <c r="F74" s="120"/>
      <c r="G74" s="35"/>
    </row>
    <row r="75" spans="2:7" x14ac:dyDescent="0.2">
      <c r="B75" s="136"/>
      <c r="C75" s="130"/>
      <c r="D75" s="130"/>
      <c r="E75" s="124"/>
      <c r="F75" s="120"/>
      <c r="G75" s="36"/>
    </row>
    <row r="76" spans="2:7" ht="13.5" thickBot="1" x14ac:dyDescent="0.25">
      <c r="B76" s="135"/>
      <c r="C76" s="131"/>
      <c r="D76" s="131"/>
      <c r="E76" s="125"/>
      <c r="F76" s="127"/>
      <c r="G76" s="37"/>
    </row>
    <row r="77" spans="2:7" x14ac:dyDescent="0.2">
      <c r="B77" s="137" t="s">
        <v>18</v>
      </c>
      <c r="C77" s="129"/>
      <c r="D77" s="129"/>
      <c r="E77" s="122"/>
      <c r="F77" s="120"/>
      <c r="G77" s="34"/>
    </row>
    <row r="78" spans="2:7" x14ac:dyDescent="0.2">
      <c r="B78" s="138"/>
      <c r="C78" s="128"/>
      <c r="D78" s="128"/>
      <c r="E78" s="123"/>
      <c r="F78" s="120"/>
      <c r="G78" s="35"/>
    </row>
    <row r="79" spans="2:7" x14ac:dyDescent="0.2">
      <c r="B79" s="138"/>
      <c r="C79" s="128"/>
      <c r="D79" s="128"/>
      <c r="E79" s="123"/>
      <c r="F79" s="120"/>
      <c r="G79" s="35"/>
    </row>
    <row r="80" spans="2:7" x14ac:dyDescent="0.2">
      <c r="B80" s="138"/>
      <c r="C80" s="128"/>
      <c r="D80" s="128"/>
      <c r="E80" s="123"/>
      <c r="F80" s="120"/>
      <c r="G80" s="35"/>
    </row>
    <row r="81" spans="2:7" x14ac:dyDescent="0.2">
      <c r="B81" s="138"/>
      <c r="C81" s="128"/>
      <c r="D81" s="128"/>
      <c r="E81" s="123"/>
      <c r="F81" s="120"/>
      <c r="G81" s="35"/>
    </row>
    <row r="82" spans="2:7" x14ac:dyDescent="0.2">
      <c r="B82" s="138"/>
      <c r="C82" s="128"/>
      <c r="D82" s="128"/>
      <c r="E82" s="123"/>
      <c r="F82" s="120"/>
      <c r="G82" s="35"/>
    </row>
    <row r="83" spans="2:7" x14ac:dyDescent="0.2">
      <c r="B83" s="138"/>
      <c r="C83" s="130"/>
      <c r="D83" s="130"/>
      <c r="E83" s="124"/>
      <c r="F83" s="120"/>
      <c r="G83" s="35"/>
    </row>
    <row r="84" spans="2:7" x14ac:dyDescent="0.2">
      <c r="B84" s="138"/>
      <c r="C84" s="130"/>
      <c r="D84" s="130"/>
      <c r="E84" s="124"/>
      <c r="F84" s="120"/>
      <c r="G84" s="35"/>
    </row>
    <row r="85" spans="2:7" x14ac:dyDescent="0.2">
      <c r="B85" s="138"/>
      <c r="C85" s="130"/>
      <c r="D85" s="130"/>
      <c r="E85" s="124"/>
      <c r="F85" s="120"/>
      <c r="G85" s="35"/>
    </row>
    <row r="86" spans="2:7" ht="13.5" thickBot="1" x14ac:dyDescent="0.25">
      <c r="B86" s="139"/>
      <c r="C86" s="131"/>
      <c r="D86" s="131"/>
      <c r="E86" s="125"/>
      <c r="F86" s="127"/>
      <c r="G86" s="37"/>
    </row>
    <row r="87" spans="2:7" x14ac:dyDescent="0.2">
      <c r="B87" s="132" t="s">
        <v>19</v>
      </c>
      <c r="C87" s="129"/>
      <c r="D87" s="129"/>
      <c r="E87" s="122"/>
      <c r="F87" s="120"/>
      <c r="G87" s="34"/>
    </row>
    <row r="88" spans="2:7" x14ac:dyDescent="0.2">
      <c r="B88" s="133"/>
      <c r="C88" s="128"/>
      <c r="D88" s="128"/>
      <c r="E88" s="123"/>
      <c r="F88" s="120"/>
      <c r="G88" s="35"/>
    </row>
    <row r="89" spans="2:7" x14ac:dyDescent="0.2">
      <c r="B89" s="133"/>
      <c r="C89" s="128"/>
      <c r="D89" s="128"/>
      <c r="E89" s="123"/>
      <c r="F89" s="120"/>
      <c r="G89" s="35"/>
    </row>
    <row r="90" spans="2:7" x14ac:dyDescent="0.2">
      <c r="B90" s="133"/>
      <c r="C90" s="128"/>
      <c r="D90" s="128"/>
      <c r="E90" s="123"/>
      <c r="F90" s="120"/>
      <c r="G90" s="35"/>
    </row>
    <row r="91" spans="2:7" x14ac:dyDescent="0.2">
      <c r="B91" s="133"/>
      <c r="C91" s="128"/>
      <c r="D91" s="128"/>
      <c r="E91" s="123"/>
      <c r="F91" s="120"/>
      <c r="G91" s="35"/>
    </row>
    <row r="92" spans="2:7" x14ac:dyDescent="0.2">
      <c r="B92" s="134"/>
      <c r="C92" s="128"/>
      <c r="D92" s="128"/>
      <c r="E92" s="123"/>
      <c r="F92" s="120"/>
      <c r="G92" s="35"/>
    </row>
    <row r="93" spans="2:7" x14ac:dyDescent="0.2">
      <c r="B93" s="134"/>
      <c r="C93" s="130"/>
      <c r="D93" s="130"/>
      <c r="E93" s="124"/>
      <c r="F93" s="120"/>
      <c r="G93" s="35"/>
    </row>
    <row r="94" spans="2:7" x14ac:dyDescent="0.2">
      <c r="B94" s="134"/>
      <c r="C94" s="130"/>
      <c r="D94" s="130"/>
      <c r="E94" s="124"/>
      <c r="F94" s="120"/>
      <c r="G94" s="35"/>
    </row>
    <row r="95" spans="2:7" x14ac:dyDescent="0.2">
      <c r="B95" s="134"/>
      <c r="C95" s="130"/>
      <c r="D95" s="130"/>
      <c r="E95" s="124"/>
      <c r="F95" s="120"/>
      <c r="G95" s="35"/>
    </row>
    <row r="96" spans="2:7" ht="13.5" thickBot="1" x14ac:dyDescent="0.25">
      <c r="B96" s="135"/>
      <c r="C96" s="131"/>
      <c r="D96" s="131"/>
      <c r="E96" s="125"/>
      <c r="F96" s="127"/>
      <c r="G96" s="37"/>
    </row>
    <row r="97" spans="1:7" x14ac:dyDescent="0.2">
      <c r="A97" s="40"/>
      <c r="B97" s="133" t="s">
        <v>20</v>
      </c>
      <c r="C97" s="129"/>
      <c r="D97" s="129"/>
      <c r="E97" s="122"/>
      <c r="F97" s="120"/>
      <c r="G97" s="34"/>
    </row>
    <row r="98" spans="1:7" x14ac:dyDescent="0.2">
      <c r="B98" s="134"/>
      <c r="C98" s="128"/>
      <c r="D98" s="128"/>
      <c r="E98" s="123"/>
      <c r="F98" s="120"/>
      <c r="G98" s="35"/>
    </row>
    <row r="99" spans="1:7" x14ac:dyDescent="0.2">
      <c r="B99" s="134"/>
      <c r="C99" s="128"/>
      <c r="D99" s="128"/>
      <c r="E99" s="123"/>
      <c r="F99" s="120"/>
      <c r="G99" s="35"/>
    </row>
    <row r="100" spans="1:7" x14ac:dyDescent="0.2">
      <c r="B100" s="134"/>
      <c r="C100" s="128"/>
      <c r="D100" s="128"/>
      <c r="E100" s="123"/>
      <c r="F100" s="120"/>
      <c r="G100" s="35"/>
    </row>
    <row r="101" spans="1:7" x14ac:dyDescent="0.2">
      <c r="B101" s="134"/>
      <c r="C101" s="128"/>
      <c r="D101" s="128"/>
      <c r="E101" s="123"/>
      <c r="F101" s="120"/>
      <c r="G101" s="35"/>
    </row>
    <row r="102" spans="1:7" x14ac:dyDescent="0.2">
      <c r="B102" s="134"/>
      <c r="C102" s="128"/>
      <c r="D102" s="128"/>
      <c r="E102" s="123"/>
      <c r="F102" s="120"/>
      <c r="G102" s="38"/>
    </row>
    <row r="103" spans="1:7" x14ac:dyDescent="0.2">
      <c r="B103" s="134"/>
      <c r="C103" s="130"/>
      <c r="D103" s="130"/>
      <c r="E103" s="124"/>
      <c r="F103" s="120"/>
      <c r="G103" s="38"/>
    </row>
    <row r="104" spans="1:7" x14ac:dyDescent="0.2">
      <c r="B104" s="134"/>
      <c r="C104" s="130"/>
      <c r="D104" s="130"/>
      <c r="E104" s="124"/>
      <c r="F104" s="120"/>
      <c r="G104" s="38"/>
    </row>
    <row r="105" spans="1:7" x14ac:dyDescent="0.2">
      <c r="B105" s="134"/>
      <c r="C105" s="130"/>
      <c r="D105" s="130"/>
      <c r="E105" s="124"/>
      <c r="F105" s="120"/>
      <c r="G105" s="38"/>
    </row>
    <row r="106" spans="1:7" ht="13.5" thickBot="1" x14ac:dyDescent="0.25">
      <c r="B106" s="136"/>
      <c r="C106" s="131"/>
      <c r="D106" s="131"/>
      <c r="E106" s="125"/>
      <c r="F106" s="127"/>
      <c r="G106" s="39"/>
    </row>
    <row r="114" spans="5:5" x14ac:dyDescent="0.2">
      <c r="E114" s="57"/>
    </row>
  </sheetData>
  <sheetProtection selectLockedCells="1"/>
  <mergeCells count="103">
    <mergeCell ref="E20:E23"/>
    <mergeCell ref="D28:D30"/>
    <mergeCell ref="B28:B30"/>
    <mergeCell ref="C34:C36"/>
    <mergeCell ref="C37:C39"/>
    <mergeCell ref="C40:C43"/>
    <mergeCell ref="D31:D33"/>
    <mergeCell ref="D34:D36"/>
    <mergeCell ref="D37:D39"/>
    <mergeCell ref="E31:E33"/>
    <mergeCell ref="F28:F30"/>
    <mergeCell ref="E28:E30"/>
    <mergeCell ref="F12:F15"/>
    <mergeCell ref="D55:D58"/>
    <mergeCell ref="D59:D61"/>
    <mergeCell ref="B52:B54"/>
    <mergeCell ref="D44:D47"/>
    <mergeCell ref="B31:B33"/>
    <mergeCell ref="B48:B51"/>
    <mergeCell ref="B34:B36"/>
    <mergeCell ref="B37:B39"/>
    <mergeCell ref="B40:B43"/>
    <mergeCell ref="B44:B47"/>
    <mergeCell ref="D48:D51"/>
    <mergeCell ref="D52:D54"/>
    <mergeCell ref="C44:C47"/>
    <mergeCell ref="C48:C51"/>
    <mergeCell ref="C52:C54"/>
    <mergeCell ref="C55:C58"/>
    <mergeCell ref="C59:C61"/>
    <mergeCell ref="B55:B58"/>
    <mergeCell ref="B59:B61"/>
    <mergeCell ref="F31:F33"/>
    <mergeCell ref="D40:D43"/>
    <mergeCell ref="B2:G2"/>
    <mergeCell ref="B3:G3"/>
    <mergeCell ref="B6:G6"/>
    <mergeCell ref="B8:B11"/>
    <mergeCell ref="E8:E11"/>
    <mergeCell ref="D8:D11"/>
    <mergeCell ref="B16:B19"/>
    <mergeCell ref="B24:B27"/>
    <mergeCell ref="B20:B23"/>
    <mergeCell ref="F16:F19"/>
    <mergeCell ref="F20:F23"/>
    <mergeCell ref="F24:F27"/>
    <mergeCell ref="F8:F11"/>
    <mergeCell ref="C16:C19"/>
    <mergeCell ref="C20:C23"/>
    <mergeCell ref="C24:C27"/>
    <mergeCell ref="B12:B15"/>
    <mergeCell ref="E24:E27"/>
    <mergeCell ref="D12:D15"/>
    <mergeCell ref="D16:D19"/>
    <mergeCell ref="D20:D23"/>
    <mergeCell ref="D24:D27"/>
    <mergeCell ref="E12:E15"/>
    <mergeCell ref="E16:E19"/>
    <mergeCell ref="B87:B96"/>
    <mergeCell ref="B97:B106"/>
    <mergeCell ref="C87:C96"/>
    <mergeCell ref="C77:C86"/>
    <mergeCell ref="B62:B66"/>
    <mergeCell ref="B67:B76"/>
    <mergeCell ref="B77:B86"/>
    <mergeCell ref="C67:C76"/>
    <mergeCell ref="C8:C11"/>
    <mergeCell ref="C12:C15"/>
    <mergeCell ref="C31:C33"/>
    <mergeCell ref="C28:C30"/>
    <mergeCell ref="F97:F106"/>
    <mergeCell ref="F87:F96"/>
    <mergeCell ref="F77:F86"/>
    <mergeCell ref="F67:F76"/>
    <mergeCell ref="F62:F66"/>
    <mergeCell ref="E97:E106"/>
    <mergeCell ref="D62:D66"/>
    <mergeCell ref="C97:C106"/>
    <mergeCell ref="D87:D96"/>
    <mergeCell ref="D97:D106"/>
    <mergeCell ref="E77:E86"/>
    <mergeCell ref="D77:D86"/>
    <mergeCell ref="D67:D76"/>
    <mergeCell ref="C62:C66"/>
    <mergeCell ref="F59:F61"/>
    <mergeCell ref="F55:F58"/>
    <mergeCell ref="F52:F54"/>
    <mergeCell ref="F48:F51"/>
    <mergeCell ref="F34:F36"/>
    <mergeCell ref="F37:F39"/>
    <mergeCell ref="F40:F43"/>
    <mergeCell ref="F44:F47"/>
    <mergeCell ref="E87:E96"/>
    <mergeCell ref="E62:E66"/>
    <mergeCell ref="E67:E76"/>
    <mergeCell ref="E52:E54"/>
    <mergeCell ref="E48:E51"/>
    <mergeCell ref="E44:E47"/>
    <mergeCell ref="E55:E58"/>
    <mergeCell ref="E59:E61"/>
    <mergeCell ref="E34:E36"/>
    <mergeCell ref="E37:E39"/>
    <mergeCell ref="E40:E43"/>
  </mergeCells>
  <phoneticPr fontId="0" type="noConversion"/>
  <dataValidations count="1">
    <dataValidation type="list" allowBlank="1" showInputMessage="1" showErrorMessage="1" sqref="D8:D15 D28:D106">
      <formula1>$I$8:$I$11</formula1>
    </dataValidation>
  </dataValidations>
  <printOptions horizontalCentered="1"/>
  <pageMargins left="0.511811023622047" right="0.511811023622047" top="0.62992125984252001" bottom="0.71" header="0" footer="0.5"/>
  <pageSetup scale="65" orientation="portrait" r:id="rId1"/>
  <headerFooter alignWithMargins="0">
    <oddFooter>&amp;L&amp;"Arial Narrow,Regular"&amp;F&amp;R&amp;"Arial Narrow,Regular"Página  &amp;P  de  &amp;N</oddFooter>
  </headerFooter>
  <rowBreaks count="2" manualBreakCount="2">
    <brk id="33" min="1" max="6" man="1"/>
    <brk id="58" min="1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B1:K57"/>
  <sheetViews>
    <sheetView tabSelected="1" topLeftCell="C1" zoomScale="105" zoomScaleNormal="105" zoomScaleSheetLayoutView="100" workbookViewId="0">
      <pane ySplit="14" topLeftCell="A15" activePane="bottomLeft" state="frozen"/>
      <selection pane="bottomLeft" activeCell="M21" sqref="M21"/>
    </sheetView>
  </sheetViews>
  <sheetFormatPr defaultColWidth="11.42578125" defaultRowHeight="12.75" x14ac:dyDescent="0.2"/>
  <cols>
    <col min="1" max="1" width="4.140625" style="59" customWidth="1"/>
    <col min="2" max="2" width="4" style="59" bestFit="1" customWidth="1"/>
    <col min="3" max="3" width="51.7109375" style="59" customWidth="1"/>
    <col min="4" max="4" width="30.7109375" style="59" customWidth="1"/>
    <col min="5" max="5" width="41.5703125" style="59" customWidth="1"/>
    <col min="6" max="6" width="8.28515625" style="59" bestFit="1" customWidth="1"/>
    <col min="7" max="7" width="12.42578125" style="59" customWidth="1"/>
    <col min="8" max="8" width="15.5703125" style="59" customWidth="1"/>
    <col min="9" max="9" width="8.7109375" style="59" customWidth="1"/>
    <col min="10" max="10" width="10.140625" style="59" customWidth="1"/>
    <col min="11" max="11" width="6.42578125" style="59" customWidth="1"/>
    <col min="12" max="16384" width="11.42578125" style="59"/>
  </cols>
  <sheetData>
    <row r="1" spans="2:11" s="58" customFormat="1" x14ac:dyDescent="0.2"/>
    <row r="2" spans="2:11" s="58" customFormat="1" ht="34.5" customHeight="1" x14ac:dyDescent="0.2">
      <c r="B2" s="151" t="s">
        <v>114</v>
      </c>
      <c r="C2" s="151"/>
      <c r="D2" s="151"/>
      <c r="E2" s="151"/>
      <c r="F2" s="151"/>
      <c r="G2" s="151"/>
      <c r="H2" s="43"/>
      <c r="I2" s="43"/>
      <c r="J2" s="43"/>
    </row>
    <row r="3" spans="2:11" ht="15.75" customHeight="1" x14ac:dyDescent="0.25">
      <c r="B3" s="175" t="s">
        <v>115</v>
      </c>
      <c r="C3" s="175"/>
      <c r="D3" s="175"/>
      <c r="E3" s="175"/>
      <c r="F3" s="175"/>
      <c r="G3" s="175"/>
      <c r="H3" s="160" t="s">
        <v>200</v>
      </c>
      <c r="I3" s="162" t="s">
        <v>199</v>
      </c>
      <c r="J3" s="163"/>
    </row>
    <row r="4" spans="2:11" ht="17.25" customHeight="1" x14ac:dyDescent="0.2">
      <c r="B4" s="1"/>
      <c r="C4" s="5"/>
      <c r="D4" s="5"/>
      <c r="E4" s="5"/>
      <c r="F4" s="5"/>
      <c r="G4" s="5"/>
      <c r="H4" s="161"/>
      <c r="I4" s="44" t="s">
        <v>3</v>
      </c>
      <c r="J4" s="44" t="s">
        <v>9</v>
      </c>
    </row>
    <row r="5" spans="2:11" x14ac:dyDescent="0.2">
      <c r="B5" s="153"/>
      <c r="C5" s="153"/>
      <c r="D5" s="153"/>
      <c r="E5" s="153"/>
      <c r="F5" s="153"/>
      <c r="G5" s="154"/>
      <c r="H5" s="45">
        <v>9</v>
      </c>
      <c r="I5" s="46">
        <v>3</v>
      </c>
      <c r="J5" s="47" t="s">
        <v>5</v>
      </c>
    </row>
    <row r="6" spans="2:11" x14ac:dyDescent="0.2">
      <c r="B6" s="1"/>
      <c r="C6" s="1"/>
      <c r="D6" s="1"/>
      <c r="E6" s="1"/>
      <c r="F6" s="1"/>
      <c r="G6" s="1"/>
      <c r="H6" s="45">
        <v>6</v>
      </c>
      <c r="I6" s="46">
        <v>3</v>
      </c>
      <c r="J6" s="47" t="s">
        <v>5</v>
      </c>
    </row>
    <row r="7" spans="2:11" x14ac:dyDescent="0.2">
      <c r="B7" s="1"/>
      <c r="C7" s="1"/>
      <c r="D7" s="1"/>
      <c r="E7" s="1"/>
      <c r="F7" s="1"/>
      <c r="G7" s="1"/>
      <c r="H7" s="45">
        <v>4</v>
      </c>
      <c r="I7" s="46">
        <v>2</v>
      </c>
      <c r="J7" s="48" t="s">
        <v>7</v>
      </c>
    </row>
    <row r="8" spans="2:11" x14ac:dyDescent="0.2">
      <c r="B8" s="6"/>
      <c r="C8" s="6"/>
      <c r="D8" s="6"/>
      <c r="E8" s="11"/>
      <c r="F8" s="12"/>
      <c r="G8" s="5"/>
      <c r="H8" s="45">
        <v>3</v>
      </c>
      <c r="I8" s="46">
        <v>2</v>
      </c>
      <c r="J8" s="48" t="s">
        <v>7</v>
      </c>
    </row>
    <row r="9" spans="2:11" x14ac:dyDescent="0.2">
      <c r="B9" s="152"/>
      <c r="C9" s="152"/>
      <c r="D9" s="152"/>
      <c r="E9" s="49"/>
      <c r="F9" s="50"/>
      <c r="G9" s="6"/>
      <c r="H9" s="45">
        <v>2</v>
      </c>
      <c r="I9" s="46">
        <v>1</v>
      </c>
      <c r="J9" s="51" t="s">
        <v>6</v>
      </c>
    </row>
    <row r="10" spans="2:11" x14ac:dyDescent="0.2">
      <c r="B10" s="9"/>
      <c r="C10" s="9"/>
      <c r="D10" s="9"/>
      <c r="E10" s="9"/>
      <c r="F10" s="7"/>
      <c r="G10" s="7"/>
      <c r="H10" s="45">
        <v>1</v>
      </c>
      <c r="I10" s="46">
        <v>1</v>
      </c>
      <c r="J10" s="51" t="s">
        <v>6</v>
      </c>
    </row>
    <row r="11" spans="2:11" ht="13.5" thickBot="1" x14ac:dyDescent="0.25">
      <c r="B11" s="9"/>
      <c r="C11" s="9"/>
      <c r="D11" s="9"/>
      <c r="E11" s="9"/>
      <c r="F11" s="7"/>
      <c r="G11" s="7"/>
      <c r="H11" s="80"/>
      <c r="I11" s="81"/>
      <c r="J11" s="81"/>
    </row>
    <row r="12" spans="2:11" ht="28.5" customHeight="1" thickBot="1" x14ac:dyDescent="0.25">
      <c r="B12" s="157" t="s">
        <v>116</v>
      </c>
      <c r="C12" s="158"/>
      <c r="D12" s="158"/>
      <c r="E12" s="158"/>
      <c r="F12" s="158"/>
      <c r="G12" s="158"/>
      <c r="H12" s="158"/>
      <c r="I12" s="158"/>
      <c r="J12" s="159"/>
    </row>
    <row r="13" spans="2:11" ht="18.75" customHeight="1" x14ac:dyDescent="0.2">
      <c r="B13" s="170" t="s">
        <v>234</v>
      </c>
      <c r="C13" s="168" t="s">
        <v>198</v>
      </c>
      <c r="D13" s="168" t="s">
        <v>23</v>
      </c>
      <c r="E13" s="168" t="s">
        <v>1</v>
      </c>
      <c r="F13" s="155" t="s">
        <v>2</v>
      </c>
      <c r="G13" s="155" t="s">
        <v>4</v>
      </c>
      <c r="H13" s="166" t="s">
        <v>238</v>
      </c>
      <c r="I13" s="164" t="s">
        <v>199</v>
      </c>
      <c r="J13" s="165"/>
      <c r="K13" s="174"/>
    </row>
    <row r="14" spans="2:11" ht="13.5" thickBot="1" x14ac:dyDescent="0.25">
      <c r="B14" s="171"/>
      <c r="C14" s="169"/>
      <c r="D14" s="169"/>
      <c r="E14" s="169"/>
      <c r="F14" s="156"/>
      <c r="G14" s="156"/>
      <c r="H14" s="167"/>
      <c r="I14" s="52" t="s">
        <v>3</v>
      </c>
      <c r="J14" s="53" t="s">
        <v>9</v>
      </c>
      <c r="K14" s="174"/>
    </row>
    <row r="15" spans="2:11" x14ac:dyDescent="0.2">
      <c r="B15" s="14">
        <v>1</v>
      </c>
      <c r="C15" s="15" t="str">
        <f>IF(Component1&gt;0,Component1,"")</f>
        <v/>
      </c>
      <c r="D15" s="15" t="str">
        <f>IF(Typeofrisk1&gt;0,Typeofrisk1,"")</f>
        <v/>
      </c>
      <c r="E15" s="16" t="str">
        <f>IF(Risk1&gt;0,Risk1,"")</f>
        <v/>
      </c>
      <c r="F15" s="17">
        <v>2</v>
      </c>
      <c r="G15" s="17">
        <v>2</v>
      </c>
      <c r="H15" s="54">
        <f>+Impact1*Probability1</f>
        <v>4</v>
      </c>
      <c r="I15" s="91">
        <f t="shared" ref="I15:I34" si="0">VLOOKUP(H15,$H$5:$I$10,2,FALSE)</f>
        <v>2</v>
      </c>
      <c r="J15" s="55" t="str">
        <f t="shared" ref="J15:J34" si="1">IF(I15=1,"Bajo",IF(I15=2,"Medio",IF(I15=3,"Alto","")))</f>
        <v>Medio</v>
      </c>
      <c r="K15" s="60"/>
    </row>
    <row r="16" spans="2:11" ht="38.25" x14ac:dyDescent="0.2">
      <c r="B16" s="13">
        <v>2</v>
      </c>
      <c r="C16" s="8" t="str">
        <f>IF(Component2&gt;0,Component2,"")</f>
        <v>Proyectos Jurisdiccionales</v>
      </c>
      <c r="D16" s="8" t="str">
        <f>IF(Typeofrisk2&gt;0,Typeofrisk2,"")</f>
        <v>Desarrollo y fiduciario</v>
      </c>
      <c r="E16" s="3" t="str">
        <f>IF(Risk2&gt;0,Risk2,"")</f>
        <v>Que se retrase el cumplimiento de las condiciones que habilitan el pago de incentivos a algunas jurisdicciones.</v>
      </c>
      <c r="F16" s="2">
        <v>2</v>
      </c>
      <c r="G16" s="2">
        <v>1</v>
      </c>
      <c r="H16" s="54">
        <f>+Impact2*Probability2</f>
        <v>2</v>
      </c>
      <c r="I16" s="91">
        <f t="shared" si="0"/>
        <v>1</v>
      </c>
      <c r="J16" s="56" t="str">
        <f t="shared" si="1"/>
        <v>Bajo</v>
      </c>
      <c r="K16" s="60"/>
    </row>
    <row r="17" spans="2:11" ht="25.5" x14ac:dyDescent="0.2">
      <c r="B17" s="13">
        <v>3</v>
      </c>
      <c r="C17" s="8" t="str">
        <f>IF(Component3&gt;0,Component3,"")</f>
        <v>Proyectos Jurisdiccionales</v>
      </c>
      <c r="D17" s="8" t="str">
        <f>IF(Typeofrisk3&gt;0,Typeofrisk3,"")</f>
        <v>Desarrollo</v>
      </c>
      <c r="E17" s="3" t="str">
        <f>IF(Risk3&gt;0,Risk3,"")</f>
        <v>Retrasos en las inversiones descentralizadas a las provincis.</v>
      </c>
      <c r="F17" s="2">
        <v>2</v>
      </c>
      <c r="G17" s="2">
        <v>3</v>
      </c>
      <c r="H17" s="54">
        <f>+Impact3*Probability3</f>
        <v>6</v>
      </c>
      <c r="I17" s="91">
        <f t="shared" si="0"/>
        <v>3</v>
      </c>
      <c r="J17" s="56" t="str">
        <f t="shared" si="1"/>
        <v>Alto</v>
      </c>
      <c r="K17" s="60"/>
    </row>
    <row r="18" spans="2:11" ht="38.25" x14ac:dyDescent="0.2">
      <c r="B18" s="13">
        <v>4</v>
      </c>
      <c r="C18" s="8" t="str">
        <f>IF(Component4&gt;0,Component4,"")</f>
        <v>Proyectos Innovadores</v>
      </c>
      <c r="D18" s="8" t="str">
        <f>IF(Typeofrisk4&gt;0,Typeofrisk4,"")</f>
        <v>Fiduciario</v>
      </c>
      <c r="E18" s="3" t="str">
        <f>IF(Risk4&gt;0,Risk4,"")</f>
        <v>Que se retrase la rendición de los recursos desembolsados a los implementadores de los proyectos.</v>
      </c>
      <c r="F18" s="2">
        <v>1</v>
      </c>
      <c r="G18" s="2">
        <v>3</v>
      </c>
      <c r="H18" s="54">
        <f>+Impact4*Probability4</f>
        <v>3</v>
      </c>
      <c r="I18" s="91">
        <f t="shared" si="0"/>
        <v>2</v>
      </c>
      <c r="J18" s="56" t="str">
        <f t="shared" si="1"/>
        <v>Medio</v>
      </c>
      <c r="K18" s="60"/>
    </row>
    <row r="19" spans="2:11" x14ac:dyDescent="0.2">
      <c r="B19" s="13">
        <v>5</v>
      </c>
      <c r="C19" s="8" t="str">
        <f>IF(Component5&gt;0,Component5,"")</f>
        <v/>
      </c>
      <c r="D19" s="8" t="str">
        <f>IF(Typeofrisk5&gt;0,Typeofrisk5,"")</f>
        <v/>
      </c>
      <c r="E19" s="3" t="str">
        <f>IF(Risk5&gt;0,Risk5,"")</f>
        <v/>
      </c>
      <c r="F19" s="2">
        <v>3</v>
      </c>
      <c r="G19" s="2">
        <v>1</v>
      </c>
      <c r="H19" s="54">
        <f>+Impact5*Probability5</f>
        <v>3</v>
      </c>
      <c r="I19" s="91">
        <f t="shared" si="0"/>
        <v>2</v>
      </c>
      <c r="J19" s="56" t="str">
        <f t="shared" si="1"/>
        <v>Medio</v>
      </c>
      <c r="K19" s="60"/>
    </row>
    <row r="20" spans="2:11" x14ac:dyDescent="0.2">
      <c r="B20" s="13">
        <v>6</v>
      </c>
      <c r="C20" s="8" t="str">
        <f>IF(Component6&gt;0,Component6,"")</f>
        <v/>
      </c>
      <c r="D20" s="8" t="str">
        <f>IF(Typeofrisk6&gt;0,Typeofrisk6,"")</f>
        <v/>
      </c>
      <c r="E20" s="3" t="str">
        <f>IF(Risk6&gt;0,Risk6,"")</f>
        <v/>
      </c>
      <c r="F20" s="2">
        <v>1</v>
      </c>
      <c r="G20" s="2">
        <v>1</v>
      </c>
      <c r="H20" s="54">
        <f>+Impact6*Probability6</f>
        <v>1</v>
      </c>
      <c r="I20" s="91">
        <f t="shared" si="0"/>
        <v>1</v>
      </c>
      <c r="J20" s="56" t="str">
        <f t="shared" si="1"/>
        <v>Bajo</v>
      </c>
      <c r="K20" s="60"/>
    </row>
    <row r="21" spans="2:11" x14ac:dyDescent="0.2">
      <c r="B21" s="13">
        <v>7</v>
      </c>
      <c r="C21" s="8" t="str">
        <f>IF(Component7&gt;0,Component7,"")</f>
        <v>Capacitaciones en uso racional de medicamentos</v>
      </c>
      <c r="D21" s="8" t="str">
        <f>IF(Typeofrisk7&gt;0,Typeofrisk7,"")</f>
        <v>Desarrollo</v>
      </c>
      <c r="E21" s="3" t="str">
        <f>IF(Risk7&gt;0,Risk7,"")</f>
        <v>Que no se logre realizarlas oportunamente</v>
      </c>
      <c r="F21" s="2">
        <v>2</v>
      </c>
      <c r="G21" s="2">
        <v>1</v>
      </c>
      <c r="H21" s="54">
        <f>+Impact7*Probability7</f>
        <v>2</v>
      </c>
      <c r="I21" s="91">
        <f t="shared" si="0"/>
        <v>1</v>
      </c>
      <c r="J21" s="56" t="str">
        <f t="shared" si="1"/>
        <v>Bajo</v>
      </c>
      <c r="K21" s="60"/>
    </row>
    <row r="22" spans="2:11" ht="51" x14ac:dyDescent="0.2">
      <c r="B22" s="13">
        <v>8</v>
      </c>
      <c r="C22" s="8" t="str">
        <f>IF(Component8&gt;0,Component8,"")</f>
        <v>Equipamiento para el Primer Nivel de Atención</v>
      </c>
      <c r="D22" s="8" t="str">
        <f>IF(Typeofrisk8&gt;0,Typeofrisk8,"")</f>
        <v>Desarrollo</v>
      </c>
      <c r="E22" s="3" t="str">
        <f>IF(Risk8&gt;0,Risk8,"")</f>
        <v>Que la distribución de equipamiento no se corresponda con la demanda de atención y capacidad de uso adecuado de los efectores o en condiciones sustentables</v>
      </c>
      <c r="F22" s="2">
        <v>3</v>
      </c>
      <c r="G22" s="2">
        <v>2</v>
      </c>
      <c r="H22" s="54">
        <f>+Impact8*Probability8</f>
        <v>6</v>
      </c>
      <c r="I22" s="91">
        <f t="shared" si="0"/>
        <v>3</v>
      </c>
      <c r="J22" s="56" t="str">
        <f t="shared" si="1"/>
        <v>Alto</v>
      </c>
      <c r="K22" s="60"/>
    </row>
    <row r="23" spans="2:11" x14ac:dyDescent="0.2">
      <c r="B23" s="13">
        <v>9</v>
      </c>
      <c r="C23" s="8" t="str">
        <f>IF(Component9&gt;0,Component9,"")</f>
        <v/>
      </c>
      <c r="D23" s="8" t="str">
        <f>IF(Typeofrisk9&gt;0,Typeofrisk9,"")</f>
        <v/>
      </c>
      <c r="E23" s="3" t="str">
        <f>IF(Risk9&gt;0,Risk9,"")</f>
        <v/>
      </c>
      <c r="F23" s="2">
        <v>2</v>
      </c>
      <c r="G23" s="2">
        <v>2</v>
      </c>
      <c r="H23" s="54">
        <f>+Impact9*Probability9</f>
        <v>4</v>
      </c>
      <c r="I23" s="91">
        <f t="shared" si="0"/>
        <v>2</v>
      </c>
      <c r="J23" s="56" t="str">
        <f t="shared" si="1"/>
        <v>Medio</v>
      </c>
      <c r="K23" s="60"/>
    </row>
    <row r="24" spans="2:11" ht="25.5" x14ac:dyDescent="0.2">
      <c r="B24" s="13">
        <v>10</v>
      </c>
      <c r="C24" s="8" t="str">
        <f>IF(Component10&gt;0,Component10,"")</f>
        <v>Tests de sangre oculta y VPH</v>
      </c>
      <c r="D24" s="8" t="str">
        <f>IF(Typeofrisk10&gt;0,Typeofrisk10,"")</f>
        <v>Desarrollo</v>
      </c>
      <c r="E24" s="3" t="str">
        <f>IF(Risk10&gt;0,Risk10,"")</f>
        <v>Que no su aplicación no logre alcanzar a un porcentaje sustantivo de la población objetivo</v>
      </c>
      <c r="F24" s="2">
        <v>2</v>
      </c>
      <c r="G24" s="2">
        <v>2</v>
      </c>
      <c r="H24" s="54">
        <f>+Impact10*Probability10</f>
        <v>4</v>
      </c>
      <c r="I24" s="91">
        <f t="shared" si="0"/>
        <v>2</v>
      </c>
      <c r="J24" s="56" t="str">
        <f t="shared" si="1"/>
        <v>Medio</v>
      </c>
      <c r="K24" s="60"/>
    </row>
    <row r="25" spans="2:11" x14ac:dyDescent="0.2">
      <c r="B25" s="13">
        <v>11</v>
      </c>
      <c r="C25" s="8" t="str">
        <f>IF(Component11&gt;0,Component11,"")</f>
        <v/>
      </c>
      <c r="D25" s="8" t="str">
        <f>IF(Typeofrisk11&gt;0,Typeofrisk11,"")</f>
        <v/>
      </c>
      <c r="E25" s="3" t="str">
        <f>IF(Risk11&gt;0,Risk11,"")</f>
        <v/>
      </c>
      <c r="F25" s="2">
        <v>2</v>
      </c>
      <c r="G25" s="2">
        <v>1</v>
      </c>
      <c r="H25" s="54">
        <f>+Impact11*Probability11</f>
        <v>2</v>
      </c>
      <c r="I25" s="91">
        <f t="shared" si="0"/>
        <v>1</v>
      </c>
      <c r="J25" s="56" t="str">
        <f t="shared" si="1"/>
        <v>Bajo</v>
      </c>
      <c r="K25" s="61"/>
    </row>
    <row r="26" spans="2:11" x14ac:dyDescent="0.2">
      <c r="B26" s="13">
        <v>12</v>
      </c>
      <c r="C26" s="8" t="str">
        <f>IF(Component12&gt;0,Component12,"")</f>
        <v/>
      </c>
      <c r="D26" s="8" t="str">
        <f>IF(Typeofrisk12&gt;0,Typeofrisk12,"")</f>
        <v/>
      </c>
      <c r="E26" s="3" t="str">
        <f>IF(Risk12&gt;0,Risk12,"")</f>
        <v/>
      </c>
      <c r="F26" s="2">
        <v>2</v>
      </c>
      <c r="G26" s="2">
        <v>2</v>
      </c>
      <c r="H26" s="54">
        <f>+Impact12*Probability12</f>
        <v>4</v>
      </c>
      <c r="I26" s="91">
        <f t="shared" si="0"/>
        <v>2</v>
      </c>
      <c r="J26" s="56" t="str">
        <f t="shared" si="1"/>
        <v>Medio</v>
      </c>
      <c r="K26" s="61"/>
    </row>
    <row r="27" spans="2:11" ht="25.5" x14ac:dyDescent="0.2">
      <c r="B27" s="13">
        <v>13</v>
      </c>
      <c r="C27" s="8" t="str">
        <f>IF(Component13&gt;0,Component13,"")</f>
        <v>Sistema de Información para el Tamizaje y Registro Institucional de Tumores de Argentina</v>
      </c>
      <c r="D27" s="8" t="str">
        <f>IF(Typeofrisk13&gt;0,Typeofrisk13,"")</f>
        <v>Desarrollo</v>
      </c>
      <c r="E27" s="3" t="str">
        <f>IF(Risk13&gt;0,Risk13,"")</f>
        <v>Que se retrase la firma de Convenios de Gestión con algunos hospitales</v>
      </c>
      <c r="F27" s="2">
        <v>2</v>
      </c>
      <c r="G27" s="2">
        <v>1</v>
      </c>
      <c r="H27" s="54">
        <f>+Impact13*Probability13</f>
        <v>2</v>
      </c>
      <c r="I27" s="91">
        <f t="shared" si="0"/>
        <v>1</v>
      </c>
      <c r="J27" s="56" t="str">
        <f t="shared" si="1"/>
        <v>Bajo</v>
      </c>
      <c r="K27" s="61"/>
    </row>
    <row r="28" spans="2:11" x14ac:dyDescent="0.2">
      <c r="B28" s="13">
        <v>14</v>
      </c>
      <c r="C28" s="8" t="str">
        <f>IF(Component14&gt;0,Component14,"")</f>
        <v/>
      </c>
      <c r="D28" s="8" t="str">
        <f>IF(Typeofrisk14&gt;0,Typeofrisk14,"")</f>
        <v/>
      </c>
      <c r="E28" s="3" t="str">
        <f>IF(Risk14&gt;0,Risk14,"")</f>
        <v/>
      </c>
      <c r="F28" s="2">
        <v>3</v>
      </c>
      <c r="G28" s="2">
        <v>2</v>
      </c>
      <c r="H28" s="54">
        <f>+Impact14*Probability14</f>
        <v>6</v>
      </c>
      <c r="I28" s="91">
        <f t="shared" si="0"/>
        <v>3</v>
      </c>
      <c r="J28" s="56" t="str">
        <f t="shared" si="1"/>
        <v>Alto</v>
      </c>
      <c r="K28" s="61"/>
    </row>
    <row r="29" spans="2:11" x14ac:dyDescent="0.2">
      <c r="B29" s="13">
        <v>15</v>
      </c>
      <c r="C29" s="8" t="str">
        <f>IF(Component15&gt;0,Component15,"")</f>
        <v/>
      </c>
      <c r="D29" s="8" t="str">
        <f>IF(Typeofrisk15&gt;0,Typeofrisk15,"")</f>
        <v/>
      </c>
      <c r="E29" s="3" t="str">
        <f>IF(Risk15&gt;0,Risk15,"")</f>
        <v/>
      </c>
      <c r="F29" s="2">
        <v>1</v>
      </c>
      <c r="G29" s="2">
        <v>1</v>
      </c>
      <c r="H29" s="54">
        <f>+Impact15*Probability15</f>
        <v>1</v>
      </c>
      <c r="I29" s="91">
        <f t="shared" si="0"/>
        <v>1</v>
      </c>
      <c r="J29" s="56" t="str">
        <f t="shared" si="1"/>
        <v>Bajo</v>
      </c>
      <c r="K29" s="61"/>
    </row>
    <row r="30" spans="2:11" ht="25.5" x14ac:dyDescent="0.2">
      <c r="B30" s="13">
        <v>16</v>
      </c>
      <c r="C30" s="8" t="str">
        <f>IF(Component16&gt;0,Component16,"")</f>
        <v>Ejecución de las actividades del componente "Fortalecimiento de la Red Oncológica"</v>
      </c>
      <c r="D30" s="8" t="str">
        <f>IF(Typeofrisk16&gt;0,Typeofrisk16,"")</f>
        <v>Desarrollo</v>
      </c>
      <c r="E30" s="3" t="str">
        <f>IF(Risk16&gt;0,Risk16,"")</f>
        <v>Que las actividades previstas en el componente no se ejecuten en tiempo y forma</v>
      </c>
      <c r="F30" s="2">
        <v>1</v>
      </c>
      <c r="G30" s="2">
        <v>3</v>
      </c>
      <c r="H30" s="54">
        <f>+Impact16*Probability16</f>
        <v>3</v>
      </c>
      <c r="I30" s="91">
        <f t="shared" si="0"/>
        <v>2</v>
      </c>
      <c r="J30" s="56" t="str">
        <f t="shared" si="1"/>
        <v>Medio</v>
      </c>
      <c r="K30" s="61"/>
    </row>
    <row r="31" spans="2:11" x14ac:dyDescent="0.2">
      <c r="B31" s="13">
        <v>17</v>
      </c>
      <c r="C31" s="8" t="str">
        <f>IF(Component17&gt;0,Component17,"")</f>
        <v/>
      </c>
      <c r="D31" s="8" t="str">
        <f>IF(Typeofrisk17&gt;0,Typeofrisk17,"")</f>
        <v/>
      </c>
      <c r="E31" s="3" t="str">
        <f>IF(Risk17&gt;0,Risk17,"")</f>
        <v/>
      </c>
      <c r="F31" s="2"/>
      <c r="G31" s="2"/>
      <c r="H31" s="54">
        <f>+Impact17*Probability17</f>
        <v>0</v>
      </c>
      <c r="I31" s="91" t="e">
        <f t="shared" si="0"/>
        <v>#N/A</v>
      </c>
      <c r="J31" s="56" t="e">
        <f t="shared" si="1"/>
        <v>#N/A</v>
      </c>
      <c r="K31" s="61"/>
    </row>
    <row r="32" spans="2:11" x14ac:dyDescent="0.2">
      <c r="B32" s="13">
        <v>18</v>
      </c>
      <c r="C32" s="8" t="str">
        <f>IF(Component18&gt;0,Component18,"")</f>
        <v/>
      </c>
      <c r="D32" s="8" t="str">
        <f>IF(Typeofrisk18&gt;0,Typeofrisk18,"")</f>
        <v/>
      </c>
      <c r="E32" s="3" t="str">
        <f>IF(Risk18&gt;0,Risk18,"")</f>
        <v/>
      </c>
      <c r="F32" s="2"/>
      <c r="G32" s="2"/>
      <c r="H32" s="54">
        <f>+Impact18*Probability18</f>
        <v>0</v>
      </c>
      <c r="I32" s="91" t="e">
        <f t="shared" si="0"/>
        <v>#N/A</v>
      </c>
      <c r="J32" s="56" t="e">
        <f t="shared" si="1"/>
        <v>#N/A</v>
      </c>
      <c r="K32" s="61"/>
    </row>
    <row r="33" spans="2:11" x14ac:dyDescent="0.2">
      <c r="B33" s="13">
        <v>19</v>
      </c>
      <c r="C33" s="8" t="str">
        <f>IF(Component19&gt;0,Component19,"")</f>
        <v/>
      </c>
      <c r="D33" s="8" t="str">
        <f>IF(Typeofrisk19&gt;0,Typeofrisk19,"")</f>
        <v/>
      </c>
      <c r="E33" s="3" t="str">
        <f>IF(Risk19&gt;0,Risk19,"")</f>
        <v/>
      </c>
      <c r="F33" s="2"/>
      <c r="G33" s="2"/>
      <c r="H33" s="54">
        <f>+Impact19*Probability19</f>
        <v>0</v>
      </c>
      <c r="I33" s="91" t="e">
        <f t="shared" si="0"/>
        <v>#N/A</v>
      </c>
      <c r="J33" s="56" t="e">
        <f t="shared" si="1"/>
        <v>#N/A</v>
      </c>
      <c r="K33" s="61"/>
    </row>
    <row r="34" spans="2:11" x14ac:dyDescent="0.2">
      <c r="B34" s="13">
        <v>20</v>
      </c>
      <c r="C34" s="8" t="str">
        <f>IF(Component20&gt;0,Component20,"")</f>
        <v/>
      </c>
      <c r="D34" s="8" t="str">
        <f>IF(Typeofrisk20&gt;0,Typeofrisk20,"")</f>
        <v/>
      </c>
      <c r="E34" s="3" t="str">
        <f>IF(Risk20&gt;0,Risk20,"")</f>
        <v/>
      </c>
      <c r="F34" s="2"/>
      <c r="G34" s="2"/>
      <c r="H34" s="54">
        <f>+Impact20*Probability20</f>
        <v>0</v>
      </c>
      <c r="I34" s="91" t="e">
        <f t="shared" si="0"/>
        <v>#N/A</v>
      </c>
      <c r="J34" s="56" t="e">
        <f t="shared" si="1"/>
        <v>#N/A</v>
      </c>
      <c r="K34" s="61"/>
    </row>
    <row r="35" spans="2:11" ht="13.5" thickBot="1" x14ac:dyDescent="0.25">
      <c r="B35" s="176" t="s">
        <v>233</v>
      </c>
      <c r="C35" s="177"/>
      <c r="D35" s="177"/>
      <c r="E35" s="177"/>
      <c r="F35" s="177"/>
      <c r="G35" s="177"/>
      <c r="H35" s="178"/>
      <c r="I35" s="179" t="s">
        <v>233</v>
      </c>
      <c r="J35" s="177" t="s">
        <v>233</v>
      </c>
      <c r="K35" s="62"/>
    </row>
    <row r="36" spans="2:11" ht="27.75" customHeight="1" x14ac:dyDescent="0.2">
      <c r="B36" s="90" t="s">
        <v>233</v>
      </c>
      <c r="C36" s="172" t="s">
        <v>233</v>
      </c>
      <c r="D36" s="173"/>
      <c r="E36" s="173"/>
      <c r="F36" s="173"/>
      <c r="G36" s="173"/>
      <c r="H36" s="173"/>
      <c r="I36" s="173"/>
      <c r="J36" s="63"/>
      <c r="K36" s="63"/>
    </row>
    <row r="37" spans="2:11" x14ac:dyDescent="0.2"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2:11" x14ac:dyDescent="0.2"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2:11" x14ac:dyDescent="0.2"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2:11" x14ac:dyDescent="0.2"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2:11" x14ac:dyDescent="0.2"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2:11" x14ac:dyDescent="0.2"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2:11" x14ac:dyDescent="0.2"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2:11" x14ac:dyDescent="0.2"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2:11" x14ac:dyDescent="0.2"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2:11" x14ac:dyDescent="0.2"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2:11" x14ac:dyDescent="0.2"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2:11" x14ac:dyDescent="0.2"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2:11" x14ac:dyDescent="0.2"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2:11" x14ac:dyDescent="0.2"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2:11" x14ac:dyDescent="0.2"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2:11" x14ac:dyDescent="0.2"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2:11" x14ac:dyDescent="0.2"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2:11" x14ac:dyDescent="0.2"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2:11" x14ac:dyDescent="0.2"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2:11" x14ac:dyDescent="0.2">
      <c r="B56" s="63"/>
      <c r="C56" s="63"/>
      <c r="D56" s="63"/>
      <c r="E56" s="63"/>
      <c r="F56" s="63"/>
      <c r="G56" s="63"/>
      <c r="H56" s="63"/>
      <c r="I56" s="63"/>
      <c r="J56" s="63"/>
      <c r="K56" s="63"/>
    </row>
    <row r="57" spans="2:11" x14ac:dyDescent="0.2">
      <c r="B57" s="63"/>
      <c r="C57" s="63"/>
      <c r="D57" s="63"/>
      <c r="E57" s="63"/>
      <c r="F57" s="63"/>
      <c r="G57" s="63"/>
      <c r="H57" s="63"/>
      <c r="I57" s="63"/>
      <c r="J57" s="63"/>
      <c r="K57" s="63"/>
    </row>
  </sheetData>
  <sheetProtection selectLockedCells="1"/>
  <mergeCells count="19">
    <mergeCell ref="C36:I36"/>
    <mergeCell ref="K13:K14"/>
    <mergeCell ref="B3:G3"/>
    <mergeCell ref="B35:H35"/>
    <mergeCell ref="I35:J35"/>
    <mergeCell ref="B2:G2"/>
    <mergeCell ref="B9:D9"/>
    <mergeCell ref="B5:G5"/>
    <mergeCell ref="F13:F14"/>
    <mergeCell ref="G13:G14"/>
    <mergeCell ref="B12:J12"/>
    <mergeCell ref="H3:H4"/>
    <mergeCell ref="I3:J3"/>
    <mergeCell ref="I13:J13"/>
    <mergeCell ref="H13:H14"/>
    <mergeCell ref="C13:C14"/>
    <mergeCell ref="D13:D14"/>
    <mergeCell ref="E13:E14"/>
    <mergeCell ref="B13:B14"/>
  </mergeCells>
  <phoneticPr fontId="0" type="noConversion"/>
  <conditionalFormatting sqref="F15:F34">
    <cfRule type="cellIs" dxfId="55" priority="75" stopIfTrue="1" operator="equal">
      <formula>3</formula>
    </cfRule>
    <cfRule type="cellIs" dxfId="54" priority="76" stopIfTrue="1" operator="equal">
      <formula>2</formula>
    </cfRule>
    <cfRule type="cellIs" dxfId="53" priority="77" stopIfTrue="1" operator="equal">
      <formula>1</formula>
    </cfRule>
  </conditionalFormatting>
  <conditionalFormatting sqref="I15:I34">
    <cfRule type="cellIs" dxfId="52" priority="64" stopIfTrue="1" operator="notBetween">
      <formula>1</formula>
      <formula>3</formula>
    </cfRule>
    <cfRule type="expression" dxfId="51" priority="69" stopIfTrue="1">
      <formula>$I15=3</formula>
    </cfRule>
    <cfRule type="expression" dxfId="50" priority="70" stopIfTrue="1">
      <formula>$I15=2</formula>
    </cfRule>
    <cfRule type="expression" dxfId="49" priority="71" stopIfTrue="1">
      <formula>$I15=1</formula>
    </cfRule>
  </conditionalFormatting>
  <conditionalFormatting sqref="J15:J34">
    <cfRule type="cellIs" dxfId="48" priority="60" stopIfTrue="1" operator="equal">
      <formula>""</formula>
    </cfRule>
    <cfRule type="cellIs" dxfId="47" priority="61" stopIfTrue="1" operator="equal">
      <formula>"Medio"</formula>
    </cfRule>
    <cfRule type="cellIs" dxfId="46" priority="62" stopIfTrue="1" operator="equal">
      <formula>"Alto"</formula>
    </cfRule>
    <cfRule type="cellIs" dxfId="45" priority="63" stopIfTrue="1" operator="equal">
      <formula>"Bajo"</formula>
    </cfRule>
  </conditionalFormatting>
  <conditionalFormatting sqref="G15:G34">
    <cfRule type="cellIs" dxfId="44" priority="28" operator="equal">
      <formula>3</formula>
    </cfRule>
    <cfRule type="cellIs" dxfId="43" priority="29" operator="equal">
      <formula>2</formula>
    </cfRule>
    <cfRule type="cellIs" dxfId="42" priority="59" stopIfTrue="1" operator="equal">
      <formula>1</formula>
    </cfRule>
  </conditionalFormatting>
  <conditionalFormatting sqref="I15">
    <cfRule type="expression" dxfId="41" priority="13" stopIfTrue="1">
      <formula>$I15=3</formula>
    </cfRule>
    <cfRule type="expression" dxfId="40" priority="14" stopIfTrue="1">
      <formula>$I15=2</formula>
    </cfRule>
    <cfRule type="expression" dxfId="39" priority="15" stopIfTrue="1">
      <formula>$I15=1</formula>
    </cfRule>
  </conditionalFormatting>
  <conditionalFormatting sqref="I16:I34">
    <cfRule type="expression" dxfId="38" priority="10" stopIfTrue="1">
      <formula>$I16=3</formula>
    </cfRule>
    <cfRule type="expression" dxfId="37" priority="11" stopIfTrue="1">
      <formula>$I16=2</formula>
    </cfRule>
    <cfRule type="expression" dxfId="36" priority="12" stopIfTrue="1">
      <formula>$I16=1</formula>
    </cfRule>
  </conditionalFormatting>
  <conditionalFormatting sqref="I16:I34">
    <cfRule type="expression" dxfId="35" priority="7" stopIfTrue="1">
      <formula>$I16=3</formula>
    </cfRule>
    <cfRule type="expression" dxfId="34" priority="8" stopIfTrue="1">
      <formula>$I16=2</formula>
    </cfRule>
    <cfRule type="expression" dxfId="33" priority="9" stopIfTrue="1">
      <formula>$I16=1</formula>
    </cfRule>
  </conditionalFormatting>
  <conditionalFormatting sqref="I15">
    <cfRule type="expression" dxfId="32" priority="4" stopIfTrue="1">
      <formula>$I15=3</formula>
    </cfRule>
    <cfRule type="expression" dxfId="31" priority="5" stopIfTrue="1">
      <formula>$I15=2</formula>
    </cfRule>
    <cfRule type="expression" dxfId="30" priority="6" stopIfTrue="1">
      <formula>$I15=1</formula>
    </cfRule>
  </conditionalFormatting>
  <conditionalFormatting sqref="I15">
    <cfRule type="expression" dxfId="29" priority="1" stopIfTrue="1">
      <formula>$I15=3</formula>
    </cfRule>
    <cfRule type="expression" dxfId="28" priority="2" stopIfTrue="1">
      <formula>$I15=2</formula>
    </cfRule>
    <cfRule type="expression" dxfId="27" priority="3" stopIfTrue="1">
      <formula>$I15=1</formula>
    </cfRule>
  </conditionalFormatting>
  <dataValidations count="1">
    <dataValidation type="whole" allowBlank="1" showInputMessage="1" showErrorMessage="1" sqref="F15:G34">
      <formula1>1</formula1>
      <formula2>3</formula2>
    </dataValidation>
  </dataValidations>
  <printOptions horizontalCentered="1"/>
  <pageMargins left="0.32" right="0.47244094488188998" top="0.511811023622047" bottom="0.43307086614173201" header="0.196850393700787" footer="0.196850393700787"/>
  <pageSetup scale="64" orientation="portrait" r:id="rId1"/>
  <headerFooter alignWithMargins="0">
    <oddFooter>&amp;L&amp;"Arial Narrow,Regular"&amp;F&amp;R&amp;"Arial Narrow,Regular"Página  &amp;P  de  &amp;N</oddFooter>
  </headerFooter>
  <ignoredErrors>
    <ignoredError sqref="H16:H34 J16:J27 C15:E34 J29 J28 J34 J30 J31 J15 J32:J3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0.14999847407452621"/>
  </sheetPr>
  <dimension ref="B1:Q95"/>
  <sheetViews>
    <sheetView showGridLines="0" showRowColHeaders="0" zoomScaleNormal="100" zoomScaleSheetLayoutView="100" workbookViewId="0">
      <pane xSplit="7" ySplit="11" topLeftCell="H20" activePane="bottomRight" state="frozen"/>
      <selection pane="topRight" activeCell="H1" sqref="H1"/>
      <selection pane="bottomLeft" activeCell="A12" sqref="A12"/>
      <selection pane="bottomRight" activeCell="E20" sqref="E20:E23"/>
    </sheetView>
  </sheetViews>
  <sheetFormatPr defaultColWidth="11.42578125" defaultRowHeight="12.75" x14ac:dyDescent="0.2"/>
  <cols>
    <col min="1" max="1" width="4.28515625" style="59" customWidth="1"/>
    <col min="2" max="2" width="4" style="72" customWidth="1"/>
    <col min="3" max="3" width="6.85546875" style="59" customWidth="1"/>
    <col min="4" max="4" width="21.28515625" style="59" customWidth="1"/>
    <col min="5" max="5" width="25.42578125" style="59" customWidth="1"/>
    <col min="6" max="6" width="8.7109375" style="59" customWidth="1"/>
    <col min="7" max="7" width="10" style="59" customWidth="1"/>
    <col min="8" max="8" width="17.85546875" style="59" customWidth="1"/>
    <col min="9" max="9" width="19" style="59" customWidth="1"/>
    <col min="10" max="10" width="13.42578125" style="59" customWidth="1"/>
    <col min="11" max="11" width="13.85546875" style="59" customWidth="1"/>
    <col min="12" max="12" width="11.42578125" style="59" customWidth="1"/>
    <col min="13" max="13" width="12.28515625" style="59" customWidth="1"/>
    <col min="14" max="14" width="15.28515625" style="59" customWidth="1"/>
    <col min="15" max="15" width="17.5703125" style="59" customWidth="1"/>
    <col min="16" max="16" width="12.5703125" style="59" customWidth="1"/>
    <col min="17" max="17" width="13.28515625" style="59" customWidth="1"/>
    <col min="18" max="16384" width="11.42578125" style="59"/>
  </cols>
  <sheetData>
    <row r="1" spans="2:17" s="58" customFormat="1" x14ac:dyDescent="0.2"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s="58" customFormat="1" ht="36.75" customHeight="1" x14ac:dyDescent="0.2">
      <c r="B2" s="202" t="s">
        <v>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2:17" ht="15.75" x14ac:dyDescent="0.25">
      <c r="B3" s="203" t="s">
        <v>21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2:17" x14ac:dyDescent="0.2">
      <c r="B4" s="66"/>
      <c r="C4" s="42"/>
      <c r="D4" s="42"/>
      <c r="E4" s="42"/>
      <c r="F4" s="67"/>
      <c r="G4" s="67"/>
      <c r="H4" s="67"/>
      <c r="I4" s="67"/>
      <c r="J4" s="67"/>
      <c r="K4" s="67"/>
      <c r="L4" s="67"/>
      <c r="M4" s="68"/>
      <c r="N4" s="68"/>
      <c r="O4" s="68"/>
      <c r="P4" s="68"/>
      <c r="Q4" s="68"/>
    </row>
    <row r="5" spans="2:17" x14ac:dyDescent="0.2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pans="2:17" x14ac:dyDescent="0.2">
      <c r="B6" s="66"/>
      <c r="C6" s="42"/>
      <c r="D6" s="42"/>
      <c r="E6" s="42"/>
      <c r="F6" s="69"/>
      <c r="G6" s="67"/>
      <c r="H6" s="67"/>
      <c r="I6" s="67"/>
      <c r="J6" s="67"/>
      <c r="K6" s="67"/>
      <c r="L6" s="67"/>
      <c r="M6" s="68"/>
      <c r="N6" s="68"/>
      <c r="O6" s="68"/>
      <c r="P6" s="68"/>
      <c r="Q6" s="68"/>
    </row>
    <row r="7" spans="2:17" x14ac:dyDescent="0.2">
      <c r="B7" s="66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2:17" ht="13.5" thickBot="1" x14ac:dyDescent="0.25">
      <c r="B8" s="6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2:17" ht="27" customHeight="1" x14ac:dyDescent="0.2">
      <c r="B9" s="170" t="s">
        <v>234</v>
      </c>
      <c r="C9" s="205" t="s">
        <v>227</v>
      </c>
      <c r="D9" s="197" t="s">
        <v>23</v>
      </c>
      <c r="E9" s="197" t="s">
        <v>1</v>
      </c>
      <c r="F9" s="209" t="s">
        <v>199</v>
      </c>
      <c r="G9" s="197"/>
      <c r="H9" s="216" t="s">
        <v>228</v>
      </c>
      <c r="I9" s="217"/>
      <c r="J9" s="217"/>
      <c r="K9" s="217"/>
      <c r="L9" s="217"/>
      <c r="M9" s="217"/>
      <c r="N9" s="217"/>
      <c r="O9" s="217"/>
      <c r="P9" s="217"/>
      <c r="Q9" s="218"/>
    </row>
    <row r="10" spans="2:17" ht="24" customHeight="1" x14ac:dyDescent="0.2">
      <c r="B10" s="200"/>
      <c r="C10" s="206"/>
      <c r="D10" s="198"/>
      <c r="E10" s="198"/>
      <c r="F10" s="210"/>
      <c r="G10" s="199"/>
      <c r="H10" s="208" t="s">
        <v>229</v>
      </c>
      <c r="I10" s="211" t="s">
        <v>201</v>
      </c>
      <c r="J10" s="212" t="s">
        <v>275</v>
      </c>
      <c r="K10" s="211" t="s">
        <v>230</v>
      </c>
      <c r="L10" s="211" t="s">
        <v>231</v>
      </c>
      <c r="M10" s="208" t="s">
        <v>0</v>
      </c>
      <c r="N10" s="208"/>
      <c r="O10" s="212" t="s">
        <v>204</v>
      </c>
      <c r="P10" s="214" t="s">
        <v>232</v>
      </c>
      <c r="Q10" s="215"/>
    </row>
    <row r="11" spans="2:17" ht="25.5" x14ac:dyDescent="0.2">
      <c r="B11" s="201"/>
      <c r="C11" s="207"/>
      <c r="D11" s="199"/>
      <c r="E11" s="199"/>
      <c r="F11" s="41" t="s">
        <v>3</v>
      </c>
      <c r="G11" s="41" t="s">
        <v>9</v>
      </c>
      <c r="H11" s="208"/>
      <c r="I11" s="211"/>
      <c r="J11" s="213"/>
      <c r="K11" s="211"/>
      <c r="L11" s="211"/>
      <c r="M11" s="82" t="s">
        <v>202</v>
      </c>
      <c r="N11" s="83" t="s">
        <v>203</v>
      </c>
      <c r="O11" s="213"/>
      <c r="P11" s="84" t="s">
        <v>205</v>
      </c>
      <c r="Q11" s="85" t="s">
        <v>206</v>
      </c>
    </row>
    <row r="12" spans="2:17" ht="127.5" x14ac:dyDescent="0.2">
      <c r="B12" s="196">
        <v>1</v>
      </c>
      <c r="C12" s="192" t="str">
        <f>IF(Component1&gt;0,Component1,"")</f>
        <v/>
      </c>
      <c r="D12" s="183" t="str">
        <f>+IF(Typeofrisk1&gt;0,Typeofrisk1,"")</f>
        <v/>
      </c>
      <c r="E12" s="183" t="str">
        <f>IF(Risk1&gt;0,Risk1,"")</f>
        <v/>
      </c>
      <c r="F12" s="186">
        <f>+Value1</f>
        <v>2</v>
      </c>
      <c r="G12" s="186" t="str">
        <f>+Level1</f>
        <v>Medio</v>
      </c>
      <c r="H12" s="114" t="s">
        <v>274</v>
      </c>
      <c r="I12" s="108" t="s">
        <v>273</v>
      </c>
      <c r="J12" s="109">
        <v>0</v>
      </c>
      <c r="K12" s="96"/>
      <c r="L12" s="96"/>
      <c r="M12" s="109"/>
      <c r="N12" s="110"/>
      <c r="O12" s="95"/>
      <c r="P12" s="96"/>
      <c r="Q12" s="98"/>
    </row>
    <row r="13" spans="2:17" ht="63.75" x14ac:dyDescent="0.2">
      <c r="B13" s="181"/>
      <c r="C13" s="193"/>
      <c r="D13" s="184"/>
      <c r="E13" s="184"/>
      <c r="F13" s="187"/>
      <c r="G13" s="187"/>
      <c r="H13" s="113" t="s">
        <v>276</v>
      </c>
      <c r="I13" s="115" t="s">
        <v>277</v>
      </c>
      <c r="J13" s="111"/>
      <c r="K13" s="116" t="s">
        <v>278</v>
      </c>
      <c r="L13" s="116" t="s">
        <v>279</v>
      </c>
      <c r="M13" s="117" t="s">
        <v>280</v>
      </c>
      <c r="N13" s="110" t="s">
        <v>205</v>
      </c>
      <c r="O13" s="115" t="s">
        <v>281</v>
      </c>
      <c r="P13" s="100"/>
      <c r="Q13" s="118" t="s">
        <v>279</v>
      </c>
    </row>
    <row r="14" spans="2:17" x14ac:dyDescent="0.2">
      <c r="B14" s="181"/>
      <c r="C14" s="193"/>
      <c r="D14" s="184"/>
      <c r="E14" s="184"/>
      <c r="F14" s="187"/>
      <c r="G14" s="187"/>
      <c r="H14" s="4"/>
      <c r="I14" s="99"/>
      <c r="J14" s="111"/>
      <c r="K14" s="100"/>
      <c r="L14" s="100"/>
      <c r="M14" s="111"/>
      <c r="N14" s="110"/>
      <c r="O14" s="99"/>
      <c r="P14" s="100"/>
      <c r="Q14" s="101"/>
    </row>
    <row r="15" spans="2:17" x14ac:dyDescent="0.2">
      <c r="B15" s="189"/>
      <c r="C15" s="194"/>
      <c r="D15" s="190"/>
      <c r="E15" s="190"/>
      <c r="F15" s="191"/>
      <c r="G15" s="191"/>
      <c r="H15" s="4"/>
      <c r="I15" s="99"/>
      <c r="J15" s="111"/>
      <c r="K15" s="100"/>
      <c r="L15" s="100"/>
      <c r="M15" s="111"/>
      <c r="N15" s="110"/>
      <c r="O15" s="99"/>
      <c r="P15" s="100"/>
      <c r="Q15" s="101"/>
    </row>
    <row r="16" spans="2:17" x14ac:dyDescent="0.2">
      <c r="B16" s="196">
        <v>2</v>
      </c>
      <c r="C16" s="192" t="str">
        <f>IF(Component2&gt;0,Component2,"")</f>
        <v>Proyectos Jurisdiccionales</v>
      </c>
      <c r="D16" s="183" t="str">
        <f>+IF(Typeofrisk2&gt;0,Typeofrisk2,"")</f>
        <v>Desarrollo y fiduciario</v>
      </c>
      <c r="E16" s="183" t="str">
        <f>IF(Risk2&gt;0,Risk2,"")</f>
        <v>Que se retrase el cumplimiento de las condiciones que habilitan el pago de incentivos a algunas jurisdicciones.</v>
      </c>
      <c r="F16" s="186">
        <f>+Value2</f>
        <v>1</v>
      </c>
      <c r="G16" s="186" t="str">
        <f>+Level2</f>
        <v>Bajo</v>
      </c>
      <c r="H16" s="94"/>
      <c r="I16" s="99"/>
      <c r="J16" s="111"/>
      <c r="K16" s="100"/>
      <c r="L16" s="100"/>
      <c r="M16" s="111"/>
      <c r="N16" s="110"/>
      <c r="O16" s="99"/>
      <c r="P16" s="100"/>
      <c r="Q16" s="101"/>
    </row>
    <row r="17" spans="2:17" x14ac:dyDescent="0.2">
      <c r="B17" s="181"/>
      <c r="C17" s="193"/>
      <c r="D17" s="184"/>
      <c r="E17" s="184"/>
      <c r="F17" s="187"/>
      <c r="G17" s="187"/>
      <c r="H17" s="4"/>
      <c r="I17" s="99"/>
      <c r="J17" s="111"/>
      <c r="K17" s="100"/>
      <c r="L17" s="100"/>
      <c r="M17" s="111"/>
      <c r="N17" s="110"/>
      <c r="O17" s="99"/>
      <c r="P17" s="100"/>
      <c r="Q17" s="101"/>
    </row>
    <row r="18" spans="2:17" x14ac:dyDescent="0.2">
      <c r="B18" s="181"/>
      <c r="C18" s="193"/>
      <c r="D18" s="184"/>
      <c r="E18" s="184"/>
      <c r="F18" s="187"/>
      <c r="G18" s="187"/>
      <c r="H18" s="4"/>
      <c r="I18" s="99"/>
      <c r="J18" s="111"/>
      <c r="K18" s="100"/>
      <c r="L18" s="100"/>
      <c r="M18" s="111"/>
      <c r="N18" s="110"/>
      <c r="O18" s="99"/>
      <c r="P18" s="100"/>
      <c r="Q18" s="101"/>
    </row>
    <row r="19" spans="2:17" x14ac:dyDescent="0.2">
      <c r="B19" s="189"/>
      <c r="C19" s="194"/>
      <c r="D19" s="190"/>
      <c r="E19" s="190"/>
      <c r="F19" s="191"/>
      <c r="G19" s="191"/>
      <c r="H19" s="4"/>
      <c r="I19" s="99"/>
      <c r="J19" s="111"/>
      <c r="K19" s="100"/>
      <c r="L19" s="100"/>
      <c r="M19" s="111"/>
      <c r="N19" s="110"/>
      <c r="O19" s="99"/>
      <c r="P19" s="100"/>
      <c r="Q19" s="101"/>
    </row>
    <row r="20" spans="2:17" x14ac:dyDescent="0.2">
      <c r="B20" s="180">
        <v>3</v>
      </c>
      <c r="C20" s="192" t="str">
        <f>IF(Component3&gt;0,Component3,"")</f>
        <v>Proyectos Jurisdiccionales</v>
      </c>
      <c r="D20" s="183" t="str">
        <f>+IF(Typeofrisk3&gt;0,Typeofrisk3,"")</f>
        <v>Desarrollo</v>
      </c>
      <c r="E20" s="183" t="str">
        <f>IF(Risk3&gt;0,Risk3,"")</f>
        <v>Retrasos en las inversiones descentralizadas a las provincis.</v>
      </c>
      <c r="F20" s="186">
        <f>+Value3</f>
        <v>3</v>
      </c>
      <c r="G20" s="186" t="str">
        <f>+Level3</f>
        <v>Alto</v>
      </c>
      <c r="H20" s="94"/>
      <c r="I20" s="99"/>
      <c r="J20" s="112"/>
      <c r="K20" s="100"/>
      <c r="L20" s="100"/>
      <c r="M20" s="111"/>
      <c r="N20" s="110"/>
      <c r="O20" s="99"/>
      <c r="P20" s="100"/>
      <c r="Q20" s="101"/>
    </row>
    <row r="21" spans="2:17" x14ac:dyDescent="0.2">
      <c r="B21" s="181"/>
      <c r="C21" s="193"/>
      <c r="D21" s="184"/>
      <c r="E21" s="184"/>
      <c r="F21" s="187"/>
      <c r="G21" s="187"/>
      <c r="H21" s="4"/>
      <c r="I21" s="99"/>
      <c r="J21" s="112"/>
      <c r="K21" s="100"/>
      <c r="L21" s="100"/>
      <c r="M21" s="111"/>
      <c r="N21" s="110"/>
      <c r="O21" s="99"/>
      <c r="P21" s="100"/>
      <c r="Q21" s="101"/>
    </row>
    <row r="22" spans="2:17" x14ac:dyDescent="0.2">
      <c r="B22" s="181"/>
      <c r="C22" s="193"/>
      <c r="D22" s="184"/>
      <c r="E22" s="184"/>
      <c r="F22" s="187"/>
      <c r="G22" s="187"/>
      <c r="H22" s="4"/>
      <c r="I22" s="99"/>
      <c r="J22" s="112"/>
      <c r="K22" s="100"/>
      <c r="L22" s="100"/>
      <c r="M22" s="111"/>
      <c r="N22" s="110"/>
      <c r="O22" s="99"/>
      <c r="P22" s="100"/>
      <c r="Q22" s="101"/>
    </row>
    <row r="23" spans="2:17" x14ac:dyDescent="0.2">
      <c r="B23" s="189"/>
      <c r="C23" s="194"/>
      <c r="D23" s="190"/>
      <c r="E23" s="190"/>
      <c r="F23" s="191"/>
      <c r="G23" s="191"/>
      <c r="H23" s="4"/>
      <c r="I23" s="99"/>
      <c r="J23" s="112"/>
      <c r="K23" s="100"/>
      <c r="L23" s="100"/>
      <c r="M23" s="111"/>
      <c r="N23" s="110"/>
      <c r="O23" s="99"/>
      <c r="P23" s="100"/>
      <c r="Q23" s="101"/>
    </row>
    <row r="24" spans="2:17" x14ac:dyDescent="0.2">
      <c r="B24" s="180">
        <v>4</v>
      </c>
      <c r="C24" s="192" t="str">
        <f>IF(Component4&gt;0,Component4,"")</f>
        <v>Proyectos Innovadores</v>
      </c>
      <c r="D24" s="183" t="str">
        <f>+IF(Typeofrisk4&gt;0,Typeofrisk4,"")</f>
        <v>Fiduciario</v>
      </c>
      <c r="E24" s="183" t="str">
        <f>IF(Risk4&gt;0,Risk4,"")</f>
        <v>Que se retrase la rendición de los recursos desembolsados a los implementadores de los proyectos.</v>
      </c>
      <c r="F24" s="186">
        <f>+Value4</f>
        <v>2</v>
      </c>
      <c r="G24" s="186" t="str">
        <f>+Level4</f>
        <v>Medio</v>
      </c>
      <c r="H24" s="94"/>
      <c r="I24" s="99"/>
      <c r="J24" s="112"/>
      <c r="K24" s="100"/>
      <c r="L24" s="100"/>
      <c r="M24" s="111"/>
      <c r="N24" s="110"/>
      <c r="O24" s="99"/>
      <c r="P24" s="100"/>
      <c r="Q24" s="101"/>
    </row>
    <row r="25" spans="2:17" x14ac:dyDescent="0.2">
      <c r="B25" s="181"/>
      <c r="C25" s="193"/>
      <c r="D25" s="184"/>
      <c r="E25" s="184"/>
      <c r="F25" s="187"/>
      <c r="G25" s="187"/>
      <c r="H25" s="4"/>
      <c r="I25" s="99"/>
      <c r="J25" s="112"/>
      <c r="K25" s="100"/>
      <c r="L25" s="100"/>
      <c r="M25" s="111"/>
      <c r="N25" s="110"/>
      <c r="O25" s="99"/>
      <c r="P25" s="100"/>
      <c r="Q25" s="101"/>
    </row>
    <row r="26" spans="2:17" x14ac:dyDescent="0.2">
      <c r="B26" s="181"/>
      <c r="C26" s="193"/>
      <c r="D26" s="184"/>
      <c r="E26" s="184"/>
      <c r="F26" s="187"/>
      <c r="G26" s="187"/>
      <c r="H26" s="4"/>
      <c r="I26" s="99"/>
      <c r="J26" s="112"/>
      <c r="K26" s="100"/>
      <c r="L26" s="100"/>
      <c r="M26" s="111"/>
      <c r="N26" s="110"/>
      <c r="O26" s="99"/>
      <c r="P26" s="100"/>
      <c r="Q26" s="101"/>
    </row>
    <row r="27" spans="2:17" x14ac:dyDescent="0.2">
      <c r="B27" s="189"/>
      <c r="C27" s="194"/>
      <c r="D27" s="190"/>
      <c r="E27" s="190"/>
      <c r="F27" s="191"/>
      <c r="G27" s="191"/>
      <c r="H27" s="4"/>
      <c r="I27" s="99"/>
      <c r="J27" s="112"/>
      <c r="K27" s="100"/>
      <c r="L27" s="100"/>
      <c r="M27" s="111"/>
      <c r="N27" s="110"/>
      <c r="O27" s="99"/>
      <c r="P27" s="100"/>
      <c r="Q27" s="101"/>
    </row>
    <row r="28" spans="2:17" x14ac:dyDescent="0.2">
      <c r="B28" s="180">
        <v>5</v>
      </c>
      <c r="C28" s="192" t="str">
        <f>IF(Component5&gt;0,Component5,"")</f>
        <v/>
      </c>
      <c r="D28" s="183" t="str">
        <f>+IF(Typeofrisk5&gt;0,Typeofrisk5,"")</f>
        <v/>
      </c>
      <c r="E28" s="183" t="str">
        <f>IF(Risk5&gt;0,Risk5,"")</f>
        <v/>
      </c>
      <c r="F28" s="186">
        <f>+Value5</f>
        <v>2</v>
      </c>
      <c r="G28" s="186" t="str">
        <f>+Level5</f>
        <v>Medio</v>
      </c>
      <c r="H28" s="94"/>
      <c r="I28" s="99"/>
      <c r="J28" s="112"/>
      <c r="K28" s="100"/>
      <c r="L28" s="100"/>
      <c r="M28" s="111"/>
      <c r="N28" s="110"/>
      <c r="O28" s="99"/>
      <c r="P28" s="100"/>
      <c r="Q28" s="101"/>
    </row>
    <row r="29" spans="2:17" x14ac:dyDescent="0.2">
      <c r="B29" s="181"/>
      <c r="C29" s="193"/>
      <c r="D29" s="184"/>
      <c r="E29" s="184"/>
      <c r="F29" s="187"/>
      <c r="G29" s="187"/>
      <c r="H29" s="102"/>
      <c r="I29" s="99"/>
      <c r="J29" s="112"/>
      <c r="K29" s="100"/>
      <c r="L29" s="100"/>
      <c r="M29" s="111"/>
      <c r="N29" s="110"/>
      <c r="O29" s="99"/>
      <c r="P29" s="100"/>
      <c r="Q29" s="101"/>
    </row>
    <row r="30" spans="2:17" x14ac:dyDescent="0.2">
      <c r="B30" s="181"/>
      <c r="C30" s="193"/>
      <c r="D30" s="184"/>
      <c r="E30" s="184"/>
      <c r="F30" s="187"/>
      <c r="G30" s="187"/>
      <c r="H30" s="102"/>
      <c r="I30" s="99"/>
      <c r="J30" s="112"/>
      <c r="K30" s="100"/>
      <c r="L30" s="100"/>
      <c r="M30" s="111"/>
      <c r="N30" s="110"/>
      <c r="O30" s="99"/>
      <c r="P30" s="100"/>
      <c r="Q30" s="101"/>
    </row>
    <row r="31" spans="2:17" x14ac:dyDescent="0.2">
      <c r="B31" s="189"/>
      <c r="C31" s="194"/>
      <c r="D31" s="190"/>
      <c r="E31" s="190"/>
      <c r="F31" s="191"/>
      <c r="G31" s="191"/>
      <c r="H31" s="102"/>
      <c r="I31" s="99"/>
      <c r="J31" s="112"/>
      <c r="K31" s="100"/>
      <c r="L31" s="100"/>
      <c r="M31" s="111"/>
      <c r="N31" s="110"/>
      <c r="O31" s="99"/>
      <c r="P31" s="100"/>
      <c r="Q31" s="101"/>
    </row>
    <row r="32" spans="2:17" x14ac:dyDescent="0.2">
      <c r="B32" s="180">
        <v>6</v>
      </c>
      <c r="C32" s="192" t="str">
        <f>IF(Component6&gt;0,Component6,"")</f>
        <v/>
      </c>
      <c r="D32" s="183" t="str">
        <f>+IF(Typeofrisk6&gt;0,Typeofrisk6,"")</f>
        <v/>
      </c>
      <c r="E32" s="183" t="str">
        <f>IF(Risk6&gt;0,Risk6,"")</f>
        <v/>
      </c>
      <c r="F32" s="186">
        <f>+Value6</f>
        <v>1</v>
      </c>
      <c r="G32" s="186" t="str">
        <f>+Level6</f>
        <v>Bajo</v>
      </c>
      <c r="H32" s="94"/>
      <c r="I32" s="99"/>
      <c r="J32" s="111"/>
      <c r="K32" s="100"/>
      <c r="L32" s="100"/>
      <c r="M32" s="111"/>
      <c r="N32" s="110"/>
      <c r="O32" s="99"/>
      <c r="P32" s="100"/>
      <c r="Q32" s="101"/>
    </row>
    <row r="33" spans="2:17" x14ac:dyDescent="0.2">
      <c r="B33" s="181"/>
      <c r="C33" s="193"/>
      <c r="D33" s="184"/>
      <c r="E33" s="184"/>
      <c r="F33" s="187"/>
      <c r="G33" s="187"/>
      <c r="H33" s="102"/>
      <c r="I33" s="99"/>
      <c r="J33" s="111"/>
      <c r="K33" s="100"/>
      <c r="L33" s="100"/>
      <c r="M33" s="111"/>
      <c r="N33" s="110"/>
      <c r="O33" s="99"/>
      <c r="P33" s="100"/>
      <c r="Q33" s="101"/>
    </row>
    <row r="34" spans="2:17" x14ac:dyDescent="0.2">
      <c r="B34" s="181"/>
      <c r="C34" s="193"/>
      <c r="D34" s="184"/>
      <c r="E34" s="184"/>
      <c r="F34" s="187"/>
      <c r="G34" s="187"/>
      <c r="H34" s="102"/>
      <c r="I34" s="99"/>
      <c r="J34" s="111"/>
      <c r="K34" s="100"/>
      <c r="L34" s="100"/>
      <c r="M34" s="111"/>
      <c r="N34" s="110"/>
      <c r="O34" s="99"/>
      <c r="P34" s="100"/>
      <c r="Q34" s="101"/>
    </row>
    <row r="35" spans="2:17" x14ac:dyDescent="0.2">
      <c r="B35" s="189"/>
      <c r="C35" s="194"/>
      <c r="D35" s="190"/>
      <c r="E35" s="190"/>
      <c r="F35" s="191"/>
      <c r="G35" s="191"/>
      <c r="H35" s="102"/>
      <c r="I35" s="99"/>
      <c r="J35" s="111"/>
      <c r="K35" s="100"/>
      <c r="L35" s="100"/>
      <c r="M35" s="111"/>
      <c r="N35" s="110"/>
      <c r="O35" s="99"/>
      <c r="P35" s="100"/>
      <c r="Q35" s="101"/>
    </row>
    <row r="36" spans="2:17" x14ac:dyDescent="0.2">
      <c r="B36" s="180">
        <v>7</v>
      </c>
      <c r="C36" s="192" t="str">
        <f>IF(Component7&gt;0,Component7,"")</f>
        <v>Capacitaciones en uso racional de medicamentos</v>
      </c>
      <c r="D36" s="183" t="str">
        <f>+IF(Typeofrisk7&gt;0,Typeofrisk7,"")</f>
        <v>Desarrollo</v>
      </c>
      <c r="E36" s="183" t="str">
        <f>IF(Risk7&gt;0,Risk7,"")</f>
        <v>Que no se logre realizarlas oportunamente</v>
      </c>
      <c r="F36" s="186">
        <f>+Value7</f>
        <v>1</v>
      </c>
      <c r="G36" s="186" t="str">
        <f>+Level7</f>
        <v>Bajo</v>
      </c>
      <c r="H36" s="94"/>
      <c r="I36" s="99"/>
      <c r="J36" s="111"/>
      <c r="K36" s="100"/>
      <c r="L36" s="100"/>
      <c r="M36" s="111"/>
      <c r="N36" s="110"/>
      <c r="O36" s="99"/>
      <c r="P36" s="100"/>
      <c r="Q36" s="101"/>
    </row>
    <row r="37" spans="2:17" x14ac:dyDescent="0.2">
      <c r="B37" s="181"/>
      <c r="C37" s="193"/>
      <c r="D37" s="184"/>
      <c r="E37" s="184"/>
      <c r="F37" s="187"/>
      <c r="G37" s="187"/>
      <c r="H37" s="102"/>
      <c r="I37" s="99"/>
      <c r="J37" s="111"/>
      <c r="K37" s="100"/>
      <c r="L37" s="100"/>
      <c r="M37" s="111"/>
      <c r="N37" s="110"/>
      <c r="O37" s="99"/>
      <c r="P37" s="100"/>
      <c r="Q37" s="101"/>
    </row>
    <row r="38" spans="2:17" x14ac:dyDescent="0.2">
      <c r="B38" s="181"/>
      <c r="C38" s="193"/>
      <c r="D38" s="184"/>
      <c r="E38" s="184"/>
      <c r="F38" s="187"/>
      <c r="G38" s="187"/>
      <c r="H38" s="102"/>
      <c r="I38" s="99"/>
      <c r="J38" s="111"/>
      <c r="K38" s="100"/>
      <c r="L38" s="100"/>
      <c r="M38" s="111"/>
      <c r="N38" s="110"/>
      <c r="O38" s="99"/>
      <c r="P38" s="100"/>
      <c r="Q38" s="101"/>
    </row>
    <row r="39" spans="2:17" x14ac:dyDescent="0.2">
      <c r="B39" s="189"/>
      <c r="C39" s="194"/>
      <c r="D39" s="190"/>
      <c r="E39" s="190"/>
      <c r="F39" s="191"/>
      <c r="G39" s="191"/>
      <c r="H39" s="102"/>
      <c r="I39" s="99"/>
      <c r="J39" s="111"/>
      <c r="K39" s="100"/>
      <c r="L39" s="100"/>
      <c r="M39" s="111"/>
      <c r="N39" s="110"/>
      <c r="O39" s="99"/>
      <c r="P39" s="100"/>
      <c r="Q39" s="101"/>
    </row>
    <row r="40" spans="2:17" x14ac:dyDescent="0.2">
      <c r="B40" s="180">
        <v>8</v>
      </c>
      <c r="C40" s="192" t="str">
        <f>IF(Component8&gt;0,Component8,"")</f>
        <v>Equipamiento para el Primer Nivel de Atención</v>
      </c>
      <c r="D40" s="183" t="str">
        <f>+IF(Typeofrisk8&gt;0,Typeofrisk8,"")</f>
        <v>Desarrollo</v>
      </c>
      <c r="E40" s="183" t="str">
        <f>IF(Risk8&gt;0,Risk8,"")</f>
        <v>Que la distribución de equipamiento no se corresponda con la demanda de atención y capacidad de uso adecuado de los efectores o en condiciones sustentables</v>
      </c>
      <c r="F40" s="186">
        <f>+Value8</f>
        <v>3</v>
      </c>
      <c r="G40" s="186" t="str">
        <f>+Level8</f>
        <v>Alto</v>
      </c>
      <c r="H40" s="94"/>
      <c r="I40" s="99"/>
      <c r="J40" s="111"/>
      <c r="K40" s="100"/>
      <c r="L40" s="100"/>
      <c r="M40" s="111"/>
      <c r="N40" s="110"/>
      <c r="O40" s="99"/>
      <c r="P40" s="100"/>
      <c r="Q40" s="101"/>
    </row>
    <row r="41" spans="2:17" x14ac:dyDescent="0.2">
      <c r="B41" s="181"/>
      <c r="C41" s="193"/>
      <c r="D41" s="184"/>
      <c r="E41" s="184"/>
      <c r="F41" s="187"/>
      <c r="G41" s="187"/>
      <c r="H41" s="102"/>
      <c r="I41" s="99"/>
      <c r="J41" s="111"/>
      <c r="K41" s="100"/>
      <c r="L41" s="100"/>
      <c r="M41" s="111"/>
      <c r="N41" s="110"/>
      <c r="O41" s="99"/>
      <c r="P41" s="100"/>
      <c r="Q41" s="101"/>
    </row>
    <row r="42" spans="2:17" x14ac:dyDescent="0.2">
      <c r="B42" s="181"/>
      <c r="C42" s="193"/>
      <c r="D42" s="184"/>
      <c r="E42" s="184"/>
      <c r="F42" s="187"/>
      <c r="G42" s="187"/>
      <c r="H42" s="102"/>
      <c r="I42" s="99"/>
      <c r="J42" s="111"/>
      <c r="K42" s="100"/>
      <c r="L42" s="100"/>
      <c r="M42" s="111"/>
      <c r="N42" s="110"/>
      <c r="O42" s="99"/>
      <c r="P42" s="100"/>
      <c r="Q42" s="101"/>
    </row>
    <row r="43" spans="2:17" x14ac:dyDescent="0.2">
      <c r="B43" s="189"/>
      <c r="C43" s="194"/>
      <c r="D43" s="190"/>
      <c r="E43" s="190"/>
      <c r="F43" s="191"/>
      <c r="G43" s="191"/>
      <c r="H43" s="102"/>
      <c r="I43" s="99"/>
      <c r="J43" s="111"/>
      <c r="K43" s="100"/>
      <c r="L43" s="100"/>
      <c r="M43" s="111"/>
      <c r="N43" s="110"/>
      <c r="O43" s="99"/>
      <c r="P43" s="100"/>
      <c r="Q43" s="101"/>
    </row>
    <row r="44" spans="2:17" x14ac:dyDescent="0.2">
      <c r="B44" s="180">
        <v>9</v>
      </c>
      <c r="C44" s="192" t="str">
        <f>IF(Component9&gt;0,Component9,"")</f>
        <v/>
      </c>
      <c r="D44" s="183" t="str">
        <f>+IF(Typeofrisk9&gt;0,Typeofrisk9,"")</f>
        <v/>
      </c>
      <c r="E44" s="183" t="str">
        <f>IF(Risk9&gt;0,Risk9,"")</f>
        <v/>
      </c>
      <c r="F44" s="186">
        <f>+Value9</f>
        <v>2</v>
      </c>
      <c r="G44" s="186" t="str">
        <f>+Level9</f>
        <v>Medio</v>
      </c>
      <c r="H44" s="94"/>
      <c r="I44" s="99"/>
      <c r="J44" s="111"/>
      <c r="K44" s="100"/>
      <c r="L44" s="100"/>
      <c r="M44" s="111"/>
      <c r="N44" s="110"/>
      <c r="O44" s="99"/>
      <c r="P44" s="100"/>
      <c r="Q44" s="101"/>
    </row>
    <row r="45" spans="2:17" x14ac:dyDescent="0.2">
      <c r="B45" s="181"/>
      <c r="C45" s="193"/>
      <c r="D45" s="184"/>
      <c r="E45" s="184"/>
      <c r="F45" s="187"/>
      <c r="G45" s="187"/>
      <c r="H45" s="102"/>
      <c r="I45" s="99"/>
      <c r="J45" s="111"/>
      <c r="K45" s="100"/>
      <c r="L45" s="100"/>
      <c r="M45" s="111"/>
      <c r="N45" s="110"/>
      <c r="O45" s="99"/>
      <c r="P45" s="100"/>
      <c r="Q45" s="101"/>
    </row>
    <row r="46" spans="2:17" x14ac:dyDescent="0.2">
      <c r="B46" s="181"/>
      <c r="C46" s="193"/>
      <c r="D46" s="184"/>
      <c r="E46" s="184"/>
      <c r="F46" s="187"/>
      <c r="G46" s="187"/>
      <c r="H46" s="102"/>
      <c r="I46" s="99"/>
      <c r="J46" s="111"/>
      <c r="K46" s="100"/>
      <c r="L46" s="100"/>
      <c r="M46" s="111"/>
      <c r="N46" s="110"/>
      <c r="O46" s="99"/>
      <c r="P46" s="100"/>
      <c r="Q46" s="101"/>
    </row>
    <row r="47" spans="2:17" x14ac:dyDescent="0.2">
      <c r="B47" s="189"/>
      <c r="C47" s="194"/>
      <c r="D47" s="190"/>
      <c r="E47" s="190"/>
      <c r="F47" s="191"/>
      <c r="G47" s="191"/>
      <c r="H47" s="102"/>
      <c r="I47" s="99"/>
      <c r="J47" s="111"/>
      <c r="K47" s="100"/>
      <c r="L47" s="100"/>
      <c r="M47" s="111"/>
      <c r="N47" s="110"/>
      <c r="O47" s="99"/>
      <c r="P47" s="100"/>
      <c r="Q47" s="101"/>
    </row>
    <row r="48" spans="2:17" x14ac:dyDescent="0.2">
      <c r="B48" s="180">
        <v>10</v>
      </c>
      <c r="C48" s="192" t="str">
        <f>IF(Component10&gt;0,Component10,"")</f>
        <v>Tests de sangre oculta y VPH</v>
      </c>
      <c r="D48" s="183" t="str">
        <f>+IF(Typeofrisk10&gt;0,Typeofrisk10,"")</f>
        <v>Desarrollo</v>
      </c>
      <c r="E48" s="183" t="str">
        <f>IF(Risk10&gt;0,Risk10,"")</f>
        <v>Que no su aplicación no logre alcanzar a un porcentaje sustantivo de la población objetivo</v>
      </c>
      <c r="F48" s="186">
        <f>+Value10</f>
        <v>2</v>
      </c>
      <c r="G48" s="186" t="str">
        <f>+Level10</f>
        <v>Medio</v>
      </c>
      <c r="H48" s="94"/>
      <c r="I48" s="99"/>
      <c r="J48" s="111"/>
      <c r="K48" s="100"/>
      <c r="L48" s="100"/>
      <c r="M48" s="111"/>
      <c r="N48" s="110"/>
      <c r="O48" s="99"/>
      <c r="P48" s="100"/>
      <c r="Q48" s="101"/>
    </row>
    <row r="49" spans="2:17" x14ac:dyDescent="0.2">
      <c r="B49" s="181"/>
      <c r="C49" s="193"/>
      <c r="D49" s="184"/>
      <c r="E49" s="184"/>
      <c r="F49" s="187"/>
      <c r="G49" s="187"/>
      <c r="H49" s="102"/>
      <c r="I49" s="99"/>
      <c r="J49" s="111"/>
      <c r="K49" s="100"/>
      <c r="L49" s="100"/>
      <c r="M49" s="111"/>
      <c r="N49" s="110"/>
      <c r="O49" s="99"/>
      <c r="P49" s="100"/>
      <c r="Q49" s="101"/>
    </row>
    <row r="50" spans="2:17" x14ac:dyDescent="0.2">
      <c r="B50" s="181"/>
      <c r="C50" s="193"/>
      <c r="D50" s="184"/>
      <c r="E50" s="184"/>
      <c r="F50" s="187"/>
      <c r="G50" s="187"/>
      <c r="H50" s="102"/>
      <c r="I50" s="99"/>
      <c r="J50" s="111"/>
      <c r="K50" s="100"/>
      <c r="L50" s="100"/>
      <c r="M50" s="111"/>
      <c r="N50" s="110"/>
      <c r="O50" s="99"/>
      <c r="P50" s="100"/>
      <c r="Q50" s="101"/>
    </row>
    <row r="51" spans="2:17" x14ac:dyDescent="0.2">
      <c r="B51" s="189"/>
      <c r="C51" s="194"/>
      <c r="D51" s="190"/>
      <c r="E51" s="190"/>
      <c r="F51" s="191"/>
      <c r="G51" s="191"/>
      <c r="H51" s="102"/>
      <c r="I51" s="99"/>
      <c r="J51" s="111"/>
      <c r="K51" s="100"/>
      <c r="L51" s="100"/>
      <c r="M51" s="111"/>
      <c r="N51" s="110"/>
      <c r="O51" s="99"/>
      <c r="P51" s="100"/>
      <c r="Q51" s="101"/>
    </row>
    <row r="52" spans="2:17" x14ac:dyDescent="0.2">
      <c r="B52" s="180">
        <v>11</v>
      </c>
      <c r="C52" s="192" t="str">
        <f>IF(Component11&gt;0,Component11,"")</f>
        <v/>
      </c>
      <c r="D52" s="183" t="str">
        <f>+IF(Typeofrisk11&gt;0,Typeofrisk11,"")</f>
        <v/>
      </c>
      <c r="E52" s="183" t="str">
        <f>IF(Risk11&gt;0,Risk11,"")</f>
        <v/>
      </c>
      <c r="F52" s="186">
        <f>+Value11</f>
        <v>1</v>
      </c>
      <c r="G52" s="186" t="str">
        <f>+Level11</f>
        <v>Bajo</v>
      </c>
      <c r="H52" s="94"/>
      <c r="I52" s="99"/>
      <c r="J52" s="111"/>
      <c r="K52" s="100"/>
      <c r="L52" s="100"/>
      <c r="M52" s="111"/>
      <c r="N52" s="110"/>
      <c r="O52" s="99"/>
      <c r="P52" s="100"/>
      <c r="Q52" s="101"/>
    </row>
    <row r="53" spans="2:17" x14ac:dyDescent="0.2">
      <c r="B53" s="181"/>
      <c r="C53" s="193"/>
      <c r="D53" s="184"/>
      <c r="E53" s="184"/>
      <c r="F53" s="187"/>
      <c r="G53" s="187"/>
      <c r="H53" s="102"/>
      <c r="I53" s="99"/>
      <c r="J53" s="111"/>
      <c r="K53" s="100"/>
      <c r="L53" s="100"/>
      <c r="M53" s="111"/>
      <c r="N53" s="110"/>
      <c r="O53" s="99"/>
      <c r="P53" s="100"/>
      <c r="Q53" s="101"/>
    </row>
    <row r="54" spans="2:17" x14ac:dyDescent="0.2">
      <c r="B54" s="181"/>
      <c r="C54" s="193"/>
      <c r="D54" s="184"/>
      <c r="E54" s="184"/>
      <c r="F54" s="187"/>
      <c r="G54" s="187"/>
      <c r="H54" s="102"/>
      <c r="I54" s="99"/>
      <c r="J54" s="111"/>
      <c r="K54" s="100"/>
      <c r="L54" s="100"/>
      <c r="M54" s="111"/>
      <c r="N54" s="110"/>
      <c r="O54" s="99"/>
      <c r="P54" s="100"/>
      <c r="Q54" s="101"/>
    </row>
    <row r="55" spans="2:17" x14ac:dyDescent="0.2">
      <c r="B55" s="189"/>
      <c r="C55" s="194"/>
      <c r="D55" s="190"/>
      <c r="E55" s="190"/>
      <c r="F55" s="191"/>
      <c r="G55" s="191"/>
      <c r="H55" s="102"/>
      <c r="I55" s="99"/>
      <c r="J55" s="111"/>
      <c r="K55" s="100"/>
      <c r="L55" s="100"/>
      <c r="M55" s="111"/>
      <c r="N55" s="110"/>
      <c r="O55" s="99"/>
      <c r="P55" s="100"/>
      <c r="Q55" s="101"/>
    </row>
    <row r="56" spans="2:17" x14ac:dyDescent="0.2">
      <c r="B56" s="180">
        <v>12</v>
      </c>
      <c r="C56" s="192" t="str">
        <f>IF(Component12&gt;0,Component12,"")</f>
        <v/>
      </c>
      <c r="D56" s="183" t="str">
        <f>+IF(Typeofrisk12&gt;0,Typeofrisk12,"")</f>
        <v/>
      </c>
      <c r="E56" s="183" t="str">
        <f>IF(Risk12&gt;0,Risk12,"")</f>
        <v/>
      </c>
      <c r="F56" s="186">
        <f>+Value12</f>
        <v>2</v>
      </c>
      <c r="G56" s="186" t="str">
        <f>+Level12</f>
        <v>Medio</v>
      </c>
      <c r="H56" s="94"/>
      <c r="I56" s="99"/>
      <c r="J56" s="111"/>
      <c r="K56" s="100"/>
      <c r="L56" s="100"/>
      <c r="M56" s="111"/>
      <c r="N56" s="110"/>
      <c r="O56" s="99"/>
      <c r="P56" s="100"/>
      <c r="Q56" s="101"/>
    </row>
    <row r="57" spans="2:17" x14ac:dyDescent="0.2">
      <c r="B57" s="181"/>
      <c r="C57" s="193"/>
      <c r="D57" s="184"/>
      <c r="E57" s="184"/>
      <c r="F57" s="187"/>
      <c r="G57" s="187"/>
      <c r="H57" s="102"/>
      <c r="I57" s="99"/>
      <c r="J57" s="111"/>
      <c r="K57" s="100"/>
      <c r="L57" s="100"/>
      <c r="M57" s="111"/>
      <c r="N57" s="110"/>
      <c r="O57" s="99"/>
      <c r="P57" s="100"/>
      <c r="Q57" s="101"/>
    </row>
    <row r="58" spans="2:17" x14ac:dyDescent="0.2">
      <c r="B58" s="181"/>
      <c r="C58" s="193"/>
      <c r="D58" s="184"/>
      <c r="E58" s="184"/>
      <c r="F58" s="187"/>
      <c r="G58" s="187"/>
      <c r="H58" s="102"/>
      <c r="I58" s="99"/>
      <c r="J58" s="111"/>
      <c r="K58" s="100"/>
      <c r="L58" s="100"/>
      <c r="M58" s="111"/>
      <c r="N58" s="110"/>
      <c r="O58" s="99"/>
      <c r="P58" s="100"/>
      <c r="Q58" s="101"/>
    </row>
    <row r="59" spans="2:17" x14ac:dyDescent="0.2">
      <c r="B59" s="189"/>
      <c r="C59" s="194"/>
      <c r="D59" s="190"/>
      <c r="E59" s="190"/>
      <c r="F59" s="191"/>
      <c r="G59" s="191"/>
      <c r="H59" s="102"/>
      <c r="I59" s="99"/>
      <c r="J59" s="111"/>
      <c r="K59" s="100"/>
      <c r="L59" s="100"/>
      <c r="M59" s="111"/>
      <c r="N59" s="110"/>
      <c r="O59" s="99"/>
      <c r="P59" s="100"/>
      <c r="Q59" s="101"/>
    </row>
    <row r="60" spans="2:17" x14ac:dyDescent="0.2">
      <c r="B60" s="180">
        <v>13</v>
      </c>
      <c r="C60" s="192" t="str">
        <f>IF(Component13&gt;0,Component13,"")</f>
        <v>Sistema de Información para el Tamizaje y Registro Institucional de Tumores de Argentina</v>
      </c>
      <c r="D60" s="183" t="str">
        <f>+IF(Typeofrisk13&gt;0,Typeofrisk13,"")</f>
        <v>Desarrollo</v>
      </c>
      <c r="E60" s="183" t="str">
        <f>IF(Risk13&gt;0,Risk13,"")</f>
        <v>Que se retrase la firma de Convenios de Gestión con algunos hospitales</v>
      </c>
      <c r="F60" s="186">
        <f>+Value13</f>
        <v>1</v>
      </c>
      <c r="G60" s="186" t="str">
        <f>+Level13</f>
        <v>Bajo</v>
      </c>
      <c r="H60" s="94"/>
      <c r="I60" s="99"/>
      <c r="J60" s="111"/>
      <c r="K60" s="100"/>
      <c r="L60" s="100"/>
      <c r="M60" s="111"/>
      <c r="N60" s="110"/>
      <c r="O60" s="99"/>
      <c r="P60" s="100"/>
      <c r="Q60" s="101"/>
    </row>
    <row r="61" spans="2:17" x14ac:dyDescent="0.2">
      <c r="B61" s="181"/>
      <c r="C61" s="193"/>
      <c r="D61" s="184"/>
      <c r="E61" s="184"/>
      <c r="F61" s="187"/>
      <c r="G61" s="187"/>
      <c r="H61" s="102"/>
      <c r="I61" s="99"/>
      <c r="J61" s="111"/>
      <c r="K61" s="100"/>
      <c r="L61" s="100"/>
      <c r="M61" s="111"/>
      <c r="N61" s="110"/>
      <c r="O61" s="99"/>
      <c r="P61" s="100"/>
      <c r="Q61" s="101"/>
    </row>
    <row r="62" spans="2:17" x14ac:dyDescent="0.2">
      <c r="B62" s="181"/>
      <c r="C62" s="193"/>
      <c r="D62" s="184"/>
      <c r="E62" s="184"/>
      <c r="F62" s="187"/>
      <c r="G62" s="187"/>
      <c r="H62" s="102"/>
      <c r="I62" s="99"/>
      <c r="J62" s="111"/>
      <c r="K62" s="100"/>
      <c r="L62" s="100"/>
      <c r="M62" s="111"/>
      <c r="N62" s="110"/>
      <c r="O62" s="99"/>
      <c r="P62" s="100"/>
      <c r="Q62" s="101"/>
    </row>
    <row r="63" spans="2:17" x14ac:dyDescent="0.2">
      <c r="B63" s="189"/>
      <c r="C63" s="194"/>
      <c r="D63" s="190"/>
      <c r="E63" s="190"/>
      <c r="F63" s="191"/>
      <c r="G63" s="191"/>
      <c r="H63" s="102"/>
      <c r="I63" s="99"/>
      <c r="J63" s="111"/>
      <c r="K63" s="100"/>
      <c r="L63" s="100"/>
      <c r="M63" s="111"/>
      <c r="N63" s="110"/>
      <c r="O63" s="99"/>
      <c r="P63" s="100"/>
      <c r="Q63" s="101"/>
    </row>
    <row r="64" spans="2:17" x14ac:dyDescent="0.2">
      <c r="B64" s="180">
        <v>14</v>
      </c>
      <c r="C64" s="192" t="str">
        <f>IF(Component14&gt;0,Component14,"")</f>
        <v/>
      </c>
      <c r="D64" s="183" t="str">
        <f>+IF(Typeofrisk14&gt;0,Typeofrisk14,"")</f>
        <v/>
      </c>
      <c r="E64" s="183" t="str">
        <f>IF(Risk14&gt;0,Risk14,"")</f>
        <v/>
      </c>
      <c r="F64" s="186">
        <f>+Value14</f>
        <v>3</v>
      </c>
      <c r="G64" s="186" t="str">
        <f>+Level14</f>
        <v>Alto</v>
      </c>
      <c r="H64" s="94"/>
      <c r="I64" s="99"/>
      <c r="J64" s="111"/>
      <c r="K64" s="100"/>
      <c r="L64" s="100"/>
      <c r="M64" s="111"/>
      <c r="N64" s="110"/>
      <c r="O64" s="99"/>
      <c r="P64" s="100"/>
      <c r="Q64" s="101"/>
    </row>
    <row r="65" spans="2:17" x14ac:dyDescent="0.2">
      <c r="B65" s="181"/>
      <c r="C65" s="193"/>
      <c r="D65" s="184"/>
      <c r="E65" s="184"/>
      <c r="F65" s="187"/>
      <c r="G65" s="187"/>
      <c r="H65" s="102"/>
      <c r="I65" s="99"/>
      <c r="J65" s="111"/>
      <c r="K65" s="100"/>
      <c r="L65" s="100"/>
      <c r="M65" s="111"/>
      <c r="N65" s="110"/>
      <c r="O65" s="99"/>
      <c r="P65" s="100"/>
      <c r="Q65" s="101"/>
    </row>
    <row r="66" spans="2:17" x14ac:dyDescent="0.2">
      <c r="B66" s="181"/>
      <c r="C66" s="193"/>
      <c r="D66" s="184"/>
      <c r="E66" s="184"/>
      <c r="F66" s="187"/>
      <c r="G66" s="187"/>
      <c r="H66" s="102"/>
      <c r="I66" s="99"/>
      <c r="J66" s="111"/>
      <c r="K66" s="100"/>
      <c r="L66" s="100"/>
      <c r="M66" s="111"/>
      <c r="N66" s="110"/>
      <c r="O66" s="99"/>
      <c r="P66" s="100"/>
      <c r="Q66" s="101"/>
    </row>
    <row r="67" spans="2:17" x14ac:dyDescent="0.2">
      <c r="B67" s="189"/>
      <c r="C67" s="194"/>
      <c r="D67" s="190"/>
      <c r="E67" s="190"/>
      <c r="F67" s="191"/>
      <c r="G67" s="191"/>
      <c r="H67" s="102"/>
      <c r="I67" s="99"/>
      <c r="J67" s="111"/>
      <c r="K67" s="100"/>
      <c r="L67" s="100"/>
      <c r="M67" s="111"/>
      <c r="N67" s="110"/>
      <c r="O67" s="99"/>
      <c r="P67" s="100"/>
      <c r="Q67" s="101"/>
    </row>
    <row r="68" spans="2:17" x14ac:dyDescent="0.2">
      <c r="B68" s="180">
        <v>15</v>
      </c>
      <c r="C68" s="192" t="str">
        <f>IF(Component15&gt;0,Component15,"")</f>
        <v/>
      </c>
      <c r="D68" s="183" t="str">
        <f>+IF(Typeofrisk15&gt;0,Typeofrisk15,"")</f>
        <v/>
      </c>
      <c r="E68" s="183" t="str">
        <f>IF(Risk15&gt;0,Risk15,"")</f>
        <v/>
      </c>
      <c r="F68" s="186">
        <f>+Value15</f>
        <v>1</v>
      </c>
      <c r="G68" s="186" t="str">
        <f>+Level15</f>
        <v>Bajo</v>
      </c>
      <c r="H68" s="94"/>
      <c r="I68" s="99"/>
      <c r="J68" s="111"/>
      <c r="K68" s="100"/>
      <c r="L68" s="100"/>
      <c r="M68" s="111"/>
      <c r="N68" s="110"/>
      <c r="O68" s="99"/>
      <c r="P68" s="100"/>
      <c r="Q68" s="101"/>
    </row>
    <row r="69" spans="2:17" x14ac:dyDescent="0.2">
      <c r="B69" s="181"/>
      <c r="C69" s="193"/>
      <c r="D69" s="184"/>
      <c r="E69" s="184"/>
      <c r="F69" s="187"/>
      <c r="G69" s="187"/>
      <c r="H69" s="102"/>
      <c r="I69" s="99"/>
      <c r="J69" s="111"/>
      <c r="K69" s="100"/>
      <c r="L69" s="100"/>
      <c r="M69" s="111"/>
      <c r="N69" s="110"/>
      <c r="O69" s="99"/>
      <c r="P69" s="100"/>
      <c r="Q69" s="101"/>
    </row>
    <row r="70" spans="2:17" x14ac:dyDescent="0.2">
      <c r="B70" s="181"/>
      <c r="C70" s="193"/>
      <c r="D70" s="184"/>
      <c r="E70" s="184"/>
      <c r="F70" s="187"/>
      <c r="G70" s="187"/>
      <c r="H70" s="102"/>
      <c r="I70" s="99"/>
      <c r="J70" s="111"/>
      <c r="K70" s="100"/>
      <c r="L70" s="100"/>
      <c r="M70" s="111"/>
      <c r="N70" s="110"/>
      <c r="O70" s="99"/>
      <c r="P70" s="100"/>
      <c r="Q70" s="101"/>
    </row>
    <row r="71" spans="2:17" x14ac:dyDescent="0.2">
      <c r="B71" s="189"/>
      <c r="C71" s="194"/>
      <c r="D71" s="190"/>
      <c r="E71" s="190"/>
      <c r="F71" s="191"/>
      <c r="G71" s="191"/>
      <c r="H71" s="102"/>
      <c r="I71" s="99"/>
      <c r="J71" s="111"/>
      <c r="K71" s="100"/>
      <c r="L71" s="100"/>
      <c r="M71" s="111"/>
      <c r="N71" s="110"/>
      <c r="O71" s="99"/>
      <c r="P71" s="100"/>
      <c r="Q71" s="101"/>
    </row>
    <row r="72" spans="2:17" x14ac:dyDescent="0.2">
      <c r="B72" s="180">
        <v>16</v>
      </c>
      <c r="C72" s="192" t="str">
        <f>IF(Component16&gt;0,Component16,"")</f>
        <v>Ejecución de las actividades del componente "Fortalecimiento de la Red Oncológica"</v>
      </c>
      <c r="D72" s="183" t="str">
        <f>+IF(Typeofrisk16&gt;0,Typeofrisk16,"")</f>
        <v>Desarrollo</v>
      </c>
      <c r="E72" s="183" t="str">
        <f>IF(Risk16&gt;0,Risk16,"")</f>
        <v>Que las actividades previstas en el componente no se ejecuten en tiempo y forma</v>
      </c>
      <c r="F72" s="186">
        <f>+Value16</f>
        <v>2</v>
      </c>
      <c r="G72" s="186" t="str">
        <f>+Level16</f>
        <v>Medio</v>
      </c>
      <c r="H72" s="94"/>
      <c r="I72" s="99"/>
      <c r="J72" s="111"/>
      <c r="K72" s="100"/>
      <c r="L72" s="100"/>
      <c r="M72" s="111"/>
      <c r="N72" s="110"/>
      <c r="O72" s="99"/>
      <c r="P72" s="100"/>
      <c r="Q72" s="101"/>
    </row>
    <row r="73" spans="2:17" x14ac:dyDescent="0.2">
      <c r="B73" s="181"/>
      <c r="C73" s="193"/>
      <c r="D73" s="184"/>
      <c r="E73" s="184"/>
      <c r="F73" s="187"/>
      <c r="G73" s="187"/>
      <c r="H73" s="102"/>
      <c r="I73" s="99"/>
      <c r="J73" s="111"/>
      <c r="K73" s="100"/>
      <c r="L73" s="100"/>
      <c r="M73" s="111"/>
      <c r="N73" s="110"/>
      <c r="O73" s="99"/>
      <c r="P73" s="100"/>
      <c r="Q73" s="101"/>
    </row>
    <row r="74" spans="2:17" x14ac:dyDescent="0.2">
      <c r="B74" s="181"/>
      <c r="C74" s="193"/>
      <c r="D74" s="184"/>
      <c r="E74" s="184"/>
      <c r="F74" s="187"/>
      <c r="G74" s="187"/>
      <c r="H74" s="102"/>
      <c r="I74" s="99"/>
      <c r="J74" s="111"/>
      <c r="K74" s="100"/>
      <c r="L74" s="100"/>
      <c r="M74" s="111"/>
      <c r="N74" s="110"/>
      <c r="O74" s="99"/>
      <c r="P74" s="100"/>
      <c r="Q74" s="101"/>
    </row>
    <row r="75" spans="2:17" x14ac:dyDescent="0.2">
      <c r="B75" s="189"/>
      <c r="C75" s="194"/>
      <c r="D75" s="190"/>
      <c r="E75" s="190"/>
      <c r="F75" s="191"/>
      <c r="G75" s="191"/>
      <c r="H75" s="102"/>
      <c r="I75" s="99"/>
      <c r="J75" s="111"/>
      <c r="K75" s="100"/>
      <c r="L75" s="100"/>
      <c r="M75" s="111"/>
      <c r="N75" s="110"/>
      <c r="O75" s="99"/>
      <c r="P75" s="100"/>
      <c r="Q75" s="101"/>
    </row>
    <row r="76" spans="2:17" x14ac:dyDescent="0.2">
      <c r="B76" s="180">
        <v>17</v>
      </c>
      <c r="C76" s="192" t="str">
        <f>IF(Component17&gt;0,Component17,"")</f>
        <v/>
      </c>
      <c r="D76" s="183" t="str">
        <f>+IF(Typeofrisk17&gt;0,Typeofrisk17,"")</f>
        <v/>
      </c>
      <c r="E76" s="183" t="str">
        <f>IF(Risk17&gt;0,Risk17,"")</f>
        <v/>
      </c>
      <c r="F76" s="186" t="e">
        <f>+Value17</f>
        <v>#N/A</v>
      </c>
      <c r="G76" s="186" t="e">
        <f>+Level17</f>
        <v>#N/A</v>
      </c>
      <c r="H76" s="94"/>
      <c r="I76" s="99"/>
      <c r="J76" s="99"/>
      <c r="K76" s="100"/>
      <c r="L76" s="100"/>
      <c r="M76" s="99"/>
      <c r="N76" s="97"/>
      <c r="O76" s="99"/>
      <c r="P76" s="100"/>
      <c r="Q76" s="101"/>
    </row>
    <row r="77" spans="2:17" x14ac:dyDescent="0.2">
      <c r="B77" s="181"/>
      <c r="C77" s="193"/>
      <c r="D77" s="184"/>
      <c r="E77" s="184"/>
      <c r="F77" s="187"/>
      <c r="G77" s="187"/>
      <c r="H77" s="102"/>
      <c r="I77" s="99"/>
      <c r="J77" s="99"/>
      <c r="K77" s="100"/>
      <c r="L77" s="100"/>
      <c r="M77" s="99"/>
      <c r="N77" s="97"/>
      <c r="O77" s="99"/>
      <c r="P77" s="100"/>
      <c r="Q77" s="101"/>
    </row>
    <row r="78" spans="2:17" x14ac:dyDescent="0.2">
      <c r="B78" s="181"/>
      <c r="C78" s="193"/>
      <c r="D78" s="184"/>
      <c r="E78" s="184"/>
      <c r="F78" s="187"/>
      <c r="G78" s="187"/>
      <c r="H78" s="102"/>
      <c r="I78" s="99"/>
      <c r="J78" s="99"/>
      <c r="K78" s="100"/>
      <c r="L78" s="100"/>
      <c r="M78" s="99"/>
      <c r="N78" s="97"/>
      <c r="O78" s="99"/>
      <c r="P78" s="100"/>
      <c r="Q78" s="101"/>
    </row>
    <row r="79" spans="2:17" x14ac:dyDescent="0.2">
      <c r="B79" s="189"/>
      <c r="C79" s="194"/>
      <c r="D79" s="190"/>
      <c r="E79" s="190"/>
      <c r="F79" s="191"/>
      <c r="G79" s="191"/>
      <c r="H79" s="102"/>
      <c r="I79" s="99"/>
      <c r="J79" s="99"/>
      <c r="K79" s="100"/>
      <c r="L79" s="100"/>
      <c r="M79" s="99"/>
      <c r="N79" s="97"/>
      <c r="O79" s="99"/>
      <c r="P79" s="100"/>
      <c r="Q79" s="101"/>
    </row>
    <row r="80" spans="2:17" x14ac:dyDescent="0.2">
      <c r="B80" s="180">
        <v>18</v>
      </c>
      <c r="C80" s="192" t="str">
        <f>IF(Component18&gt;0,Component18,"")</f>
        <v/>
      </c>
      <c r="D80" s="183" t="str">
        <f>+IF(Typeofrisk18&gt;0,Typeofrisk18,"")</f>
        <v/>
      </c>
      <c r="E80" s="183" t="str">
        <f>IF(Risk18&gt;0,Risk18,"")</f>
        <v/>
      </c>
      <c r="F80" s="186" t="e">
        <f>+Value18</f>
        <v>#N/A</v>
      </c>
      <c r="G80" s="186" t="e">
        <f>+Level18</f>
        <v>#N/A</v>
      </c>
      <c r="H80" s="94"/>
      <c r="I80" s="99"/>
      <c r="J80" s="99"/>
      <c r="K80" s="100"/>
      <c r="L80" s="100"/>
      <c r="M80" s="99"/>
      <c r="N80" s="97"/>
      <c r="O80" s="99"/>
      <c r="P80" s="100"/>
      <c r="Q80" s="101"/>
    </row>
    <row r="81" spans="2:17" x14ac:dyDescent="0.2">
      <c r="B81" s="181"/>
      <c r="C81" s="193"/>
      <c r="D81" s="184"/>
      <c r="E81" s="184"/>
      <c r="F81" s="187"/>
      <c r="G81" s="187"/>
      <c r="H81" s="102"/>
      <c r="I81" s="99"/>
      <c r="J81" s="99"/>
      <c r="K81" s="100"/>
      <c r="L81" s="100"/>
      <c r="M81" s="99"/>
      <c r="N81" s="97"/>
      <c r="O81" s="99"/>
      <c r="P81" s="100"/>
      <c r="Q81" s="101"/>
    </row>
    <row r="82" spans="2:17" x14ac:dyDescent="0.2">
      <c r="B82" s="181"/>
      <c r="C82" s="193"/>
      <c r="D82" s="184"/>
      <c r="E82" s="184"/>
      <c r="F82" s="187"/>
      <c r="G82" s="187"/>
      <c r="H82" s="102"/>
      <c r="I82" s="99"/>
      <c r="J82" s="99"/>
      <c r="K82" s="100"/>
      <c r="L82" s="100"/>
      <c r="M82" s="99"/>
      <c r="N82" s="97"/>
      <c r="O82" s="99"/>
      <c r="P82" s="100"/>
      <c r="Q82" s="101"/>
    </row>
    <row r="83" spans="2:17" x14ac:dyDescent="0.2">
      <c r="B83" s="189"/>
      <c r="C83" s="194"/>
      <c r="D83" s="190"/>
      <c r="E83" s="190"/>
      <c r="F83" s="191"/>
      <c r="G83" s="191"/>
      <c r="H83" s="102"/>
      <c r="I83" s="99"/>
      <c r="J83" s="99"/>
      <c r="K83" s="100"/>
      <c r="L83" s="100"/>
      <c r="M83" s="99"/>
      <c r="N83" s="97"/>
      <c r="O83" s="99"/>
      <c r="P83" s="100"/>
      <c r="Q83" s="101"/>
    </row>
    <row r="84" spans="2:17" x14ac:dyDescent="0.2">
      <c r="B84" s="180">
        <v>19</v>
      </c>
      <c r="C84" s="192" t="str">
        <f>IF(Component19&gt;0,Component19,"")</f>
        <v/>
      </c>
      <c r="D84" s="183" t="str">
        <f>+IF(Typeofrisk19&gt;0,Typeofrisk19,"")</f>
        <v/>
      </c>
      <c r="E84" s="183" t="str">
        <f>IF(Risk19&gt;0,Risk19,"")</f>
        <v/>
      </c>
      <c r="F84" s="186" t="e">
        <f>+Value19</f>
        <v>#N/A</v>
      </c>
      <c r="G84" s="186" t="e">
        <f>+Level19</f>
        <v>#N/A</v>
      </c>
      <c r="H84" s="94"/>
      <c r="I84" s="99"/>
      <c r="J84" s="99"/>
      <c r="K84" s="100"/>
      <c r="L84" s="100"/>
      <c r="M84" s="99"/>
      <c r="N84" s="97"/>
      <c r="O84" s="99"/>
      <c r="P84" s="100"/>
      <c r="Q84" s="101"/>
    </row>
    <row r="85" spans="2:17" x14ac:dyDescent="0.2">
      <c r="B85" s="181"/>
      <c r="C85" s="193"/>
      <c r="D85" s="184"/>
      <c r="E85" s="184"/>
      <c r="F85" s="187"/>
      <c r="G85" s="187"/>
      <c r="H85" s="102"/>
      <c r="I85" s="99"/>
      <c r="J85" s="99"/>
      <c r="K85" s="100"/>
      <c r="L85" s="100"/>
      <c r="M85" s="99"/>
      <c r="N85" s="97"/>
      <c r="O85" s="99"/>
      <c r="P85" s="100"/>
      <c r="Q85" s="101"/>
    </row>
    <row r="86" spans="2:17" x14ac:dyDescent="0.2">
      <c r="B86" s="181"/>
      <c r="C86" s="193"/>
      <c r="D86" s="184"/>
      <c r="E86" s="184"/>
      <c r="F86" s="187"/>
      <c r="G86" s="187"/>
      <c r="H86" s="102"/>
      <c r="I86" s="99"/>
      <c r="J86" s="99"/>
      <c r="K86" s="100"/>
      <c r="L86" s="100"/>
      <c r="M86" s="99"/>
      <c r="N86" s="97"/>
      <c r="O86" s="99"/>
      <c r="P86" s="100"/>
      <c r="Q86" s="101"/>
    </row>
    <row r="87" spans="2:17" x14ac:dyDescent="0.2">
      <c r="B87" s="189"/>
      <c r="C87" s="194"/>
      <c r="D87" s="190"/>
      <c r="E87" s="190"/>
      <c r="F87" s="191"/>
      <c r="G87" s="191"/>
      <c r="H87" s="102"/>
      <c r="I87" s="99"/>
      <c r="J87" s="99"/>
      <c r="K87" s="100"/>
      <c r="L87" s="100"/>
      <c r="M87" s="99"/>
      <c r="N87" s="97"/>
      <c r="O87" s="99"/>
      <c r="P87" s="100"/>
      <c r="Q87" s="101"/>
    </row>
    <row r="88" spans="2:17" x14ac:dyDescent="0.2">
      <c r="B88" s="180">
        <v>20</v>
      </c>
      <c r="C88" s="192" t="str">
        <f>IF(Component20&gt;0,Component20,"")</f>
        <v/>
      </c>
      <c r="D88" s="183" t="str">
        <f>+IF(Typeofrisk20&gt;0,Typeofrisk20,"")</f>
        <v/>
      </c>
      <c r="E88" s="183" t="str">
        <f>IF(Risk20&gt;0,Risk20,"")</f>
        <v/>
      </c>
      <c r="F88" s="186" t="e">
        <f>+Value20</f>
        <v>#N/A</v>
      </c>
      <c r="G88" s="186" t="e">
        <f>+Level20</f>
        <v>#N/A</v>
      </c>
      <c r="H88" s="94"/>
      <c r="I88" s="99"/>
      <c r="J88" s="99"/>
      <c r="K88" s="100"/>
      <c r="L88" s="100"/>
      <c r="M88" s="99"/>
      <c r="N88" s="97"/>
      <c r="O88" s="99"/>
      <c r="P88" s="100"/>
      <c r="Q88" s="101"/>
    </row>
    <row r="89" spans="2:17" x14ac:dyDescent="0.2">
      <c r="B89" s="181"/>
      <c r="C89" s="193"/>
      <c r="D89" s="184"/>
      <c r="E89" s="184"/>
      <c r="F89" s="187"/>
      <c r="G89" s="187"/>
      <c r="H89" s="102"/>
      <c r="I89" s="99"/>
      <c r="J89" s="99"/>
      <c r="K89" s="100"/>
      <c r="L89" s="100"/>
      <c r="M89" s="99"/>
      <c r="N89" s="97"/>
      <c r="O89" s="99"/>
      <c r="P89" s="100"/>
      <c r="Q89" s="101"/>
    </row>
    <row r="90" spans="2:17" x14ac:dyDescent="0.2">
      <c r="B90" s="181"/>
      <c r="C90" s="193"/>
      <c r="D90" s="184"/>
      <c r="E90" s="184"/>
      <c r="F90" s="187"/>
      <c r="G90" s="187"/>
      <c r="H90" s="102"/>
      <c r="I90" s="99"/>
      <c r="J90" s="99"/>
      <c r="K90" s="100"/>
      <c r="L90" s="100"/>
      <c r="M90" s="99"/>
      <c r="N90" s="97"/>
      <c r="O90" s="99"/>
      <c r="P90" s="100"/>
      <c r="Q90" s="101"/>
    </row>
    <row r="91" spans="2:17" ht="13.5" thickBot="1" x14ac:dyDescent="0.25">
      <c r="B91" s="182"/>
      <c r="C91" s="195"/>
      <c r="D91" s="185"/>
      <c r="E91" s="185"/>
      <c r="F91" s="188"/>
      <c r="G91" s="188"/>
      <c r="H91" s="103"/>
      <c r="I91" s="104"/>
      <c r="J91" s="104"/>
      <c r="K91" s="105"/>
      <c r="L91" s="105"/>
      <c r="M91" s="104"/>
      <c r="N91" s="106"/>
      <c r="O91" s="104"/>
      <c r="P91" s="105"/>
      <c r="Q91" s="107"/>
    </row>
    <row r="92" spans="2:17" x14ac:dyDescent="0.2">
      <c r="B92" s="70"/>
      <c r="C92" s="71"/>
    </row>
    <row r="93" spans="2:17" x14ac:dyDescent="0.2">
      <c r="B93" s="70"/>
      <c r="C93" s="71"/>
      <c r="E93" s="63"/>
    </row>
    <row r="94" spans="2:17" hidden="1" x14ac:dyDescent="0.2">
      <c r="B94" s="70"/>
      <c r="C94" s="71"/>
      <c r="N94" s="63" t="s">
        <v>205</v>
      </c>
    </row>
    <row r="95" spans="2:17" hidden="1" x14ac:dyDescent="0.2">
      <c r="N95" s="63" t="s">
        <v>206</v>
      </c>
    </row>
  </sheetData>
  <sheetProtection selectLockedCells="1"/>
  <mergeCells count="137">
    <mergeCell ref="B2:Q2"/>
    <mergeCell ref="B3:Q3"/>
    <mergeCell ref="B5:Q5"/>
    <mergeCell ref="E9:E11"/>
    <mergeCell ref="C9:C11"/>
    <mergeCell ref="M10:N10"/>
    <mergeCell ref="F9:G10"/>
    <mergeCell ref="H10:H11"/>
    <mergeCell ref="I10:I11"/>
    <mergeCell ref="J10:J11"/>
    <mergeCell ref="K10:K11"/>
    <mergeCell ref="L10:L11"/>
    <mergeCell ref="O10:O11"/>
    <mergeCell ref="P10:Q10"/>
    <mergeCell ref="H9:Q9"/>
    <mergeCell ref="B12:B15"/>
    <mergeCell ref="E12:E15"/>
    <mergeCell ref="F12:F15"/>
    <mergeCell ref="D9:D11"/>
    <mergeCell ref="B9:B11"/>
    <mergeCell ref="G12:G15"/>
    <mergeCell ref="D12:D15"/>
    <mergeCell ref="F20:F23"/>
    <mergeCell ref="G20:G23"/>
    <mergeCell ref="F16:F19"/>
    <mergeCell ref="G16:G19"/>
    <mergeCell ref="B20:B23"/>
    <mergeCell ref="E20:E23"/>
    <mergeCell ref="D20:D23"/>
    <mergeCell ref="B16:B19"/>
    <mergeCell ref="E16:E19"/>
    <mergeCell ref="D16:D19"/>
    <mergeCell ref="C12:C15"/>
    <mergeCell ref="C16:C19"/>
    <mergeCell ref="C20:C23"/>
    <mergeCell ref="B24:B27"/>
    <mergeCell ref="E24:E27"/>
    <mergeCell ref="F24:F27"/>
    <mergeCell ref="G24:G27"/>
    <mergeCell ref="D24:D27"/>
    <mergeCell ref="B28:B31"/>
    <mergeCell ref="E28:E31"/>
    <mergeCell ref="F28:F31"/>
    <mergeCell ref="G28:G31"/>
    <mergeCell ref="D28:D31"/>
    <mergeCell ref="C24:C27"/>
    <mergeCell ref="C28:C31"/>
    <mergeCell ref="B32:B35"/>
    <mergeCell ref="E32:E35"/>
    <mergeCell ref="F32:F35"/>
    <mergeCell ref="G32:G35"/>
    <mergeCell ref="D32:D35"/>
    <mergeCell ref="B36:B39"/>
    <mergeCell ref="E36:E39"/>
    <mergeCell ref="F36:F39"/>
    <mergeCell ref="G36:G39"/>
    <mergeCell ref="D36:D39"/>
    <mergeCell ref="C32:C35"/>
    <mergeCell ref="C36:C39"/>
    <mergeCell ref="B40:B43"/>
    <mergeCell ref="E40:E43"/>
    <mergeCell ref="F40:F43"/>
    <mergeCell ref="G40:G43"/>
    <mergeCell ref="D40:D43"/>
    <mergeCell ref="B44:B47"/>
    <mergeCell ref="E44:E47"/>
    <mergeCell ref="F44:F47"/>
    <mergeCell ref="G44:G47"/>
    <mergeCell ref="D44:D47"/>
    <mergeCell ref="C40:C43"/>
    <mergeCell ref="C44:C47"/>
    <mergeCell ref="B48:B51"/>
    <mergeCell ref="E48:E51"/>
    <mergeCell ref="F48:F51"/>
    <mergeCell ref="G48:G51"/>
    <mergeCell ref="D48:D51"/>
    <mergeCell ref="B52:B55"/>
    <mergeCell ref="E52:E55"/>
    <mergeCell ref="F52:F55"/>
    <mergeCell ref="G52:G55"/>
    <mergeCell ref="D52:D55"/>
    <mergeCell ref="C48:C51"/>
    <mergeCell ref="C52:C55"/>
    <mergeCell ref="B56:B59"/>
    <mergeCell ref="E56:E59"/>
    <mergeCell ref="F56:F59"/>
    <mergeCell ref="G56:G59"/>
    <mergeCell ref="D56:D59"/>
    <mergeCell ref="B60:B63"/>
    <mergeCell ref="E60:E63"/>
    <mergeCell ref="F60:F63"/>
    <mergeCell ref="G60:G63"/>
    <mergeCell ref="D60:D63"/>
    <mergeCell ref="C56:C59"/>
    <mergeCell ref="C60:C63"/>
    <mergeCell ref="B64:B67"/>
    <mergeCell ref="E64:E67"/>
    <mergeCell ref="F64:F67"/>
    <mergeCell ref="G64:G67"/>
    <mergeCell ref="D64:D67"/>
    <mergeCell ref="B68:B71"/>
    <mergeCell ref="E68:E71"/>
    <mergeCell ref="F68:F71"/>
    <mergeCell ref="G68:G71"/>
    <mergeCell ref="D68:D71"/>
    <mergeCell ref="C64:C67"/>
    <mergeCell ref="C68:C71"/>
    <mergeCell ref="E72:E75"/>
    <mergeCell ref="F72:F75"/>
    <mergeCell ref="G72:G75"/>
    <mergeCell ref="D72:D75"/>
    <mergeCell ref="B76:B79"/>
    <mergeCell ref="E76:E79"/>
    <mergeCell ref="F76:F79"/>
    <mergeCell ref="G76:G79"/>
    <mergeCell ref="D76:D79"/>
    <mergeCell ref="B72:B75"/>
    <mergeCell ref="C72:C75"/>
    <mergeCell ref="C76:C79"/>
    <mergeCell ref="B88:B91"/>
    <mergeCell ref="E88:E91"/>
    <mergeCell ref="F88:F91"/>
    <mergeCell ref="G88:G91"/>
    <mergeCell ref="D88:D91"/>
    <mergeCell ref="B80:B83"/>
    <mergeCell ref="E80:E83"/>
    <mergeCell ref="F80:F83"/>
    <mergeCell ref="G80:G83"/>
    <mergeCell ref="D80:D83"/>
    <mergeCell ref="B84:B87"/>
    <mergeCell ref="E84:E87"/>
    <mergeCell ref="F84:F87"/>
    <mergeCell ref="G84:G87"/>
    <mergeCell ref="D84:D87"/>
    <mergeCell ref="C80:C83"/>
    <mergeCell ref="C84:C87"/>
    <mergeCell ref="C88:C91"/>
  </mergeCells>
  <phoneticPr fontId="0" type="noConversion"/>
  <conditionalFormatting sqref="F12:F91">
    <cfRule type="cellIs" dxfId="26" priority="58" stopIfTrue="1" operator="notBetween">
      <formula>1</formula>
      <formula>3</formula>
    </cfRule>
    <cfRule type="expression" dxfId="25" priority="59" stopIfTrue="1">
      <formula>$F12=3</formula>
    </cfRule>
    <cfRule type="expression" dxfId="24" priority="60" stopIfTrue="1">
      <formula>$F12=2</formula>
    </cfRule>
    <cfRule type="expression" dxfId="23" priority="61" stopIfTrue="1">
      <formula>$F12=1</formula>
    </cfRule>
  </conditionalFormatting>
  <conditionalFormatting sqref="G12:G91">
    <cfRule type="cellIs" dxfId="22" priority="54" stopIfTrue="1" operator="equal">
      <formula>"Alto"</formula>
    </cfRule>
    <cfRule type="cellIs" dxfId="21" priority="55" stopIfTrue="1" operator="equal">
      <formula>"Medio"</formula>
    </cfRule>
    <cfRule type="cellIs" dxfId="20" priority="56" stopIfTrue="1" operator="equal">
      <formula>"Bajo"</formula>
    </cfRule>
    <cfRule type="cellIs" dxfId="19" priority="57" stopIfTrue="1" operator="equal">
      <formula>""</formula>
    </cfRule>
  </conditionalFormatting>
  <conditionalFormatting sqref="H16:Q19">
    <cfRule type="expression" dxfId="18" priority="49">
      <formula>$F$16=1</formula>
    </cfRule>
  </conditionalFormatting>
  <conditionalFormatting sqref="H20:Q23">
    <cfRule type="expression" dxfId="17" priority="48" stopIfTrue="1">
      <formula>$F$20=1</formula>
    </cfRule>
  </conditionalFormatting>
  <conditionalFormatting sqref="H24:Q27">
    <cfRule type="expression" dxfId="16" priority="47">
      <formula>$F$24=1</formula>
    </cfRule>
  </conditionalFormatting>
  <conditionalFormatting sqref="H28:Q31">
    <cfRule type="expression" dxfId="15" priority="46">
      <formula>$F$28=1</formula>
    </cfRule>
  </conditionalFormatting>
  <conditionalFormatting sqref="H32:Q35">
    <cfRule type="expression" dxfId="14" priority="45">
      <formula>$F$32=1</formula>
    </cfRule>
  </conditionalFormatting>
  <conditionalFormatting sqref="H36:Q39">
    <cfRule type="expression" dxfId="13" priority="44">
      <formula>$F$36=1</formula>
    </cfRule>
  </conditionalFormatting>
  <conditionalFormatting sqref="H40:Q43">
    <cfRule type="expression" dxfId="12" priority="43">
      <formula>$F$40=1</formula>
    </cfRule>
  </conditionalFormatting>
  <conditionalFormatting sqref="H48:Q51">
    <cfRule type="expression" dxfId="11" priority="41">
      <formula>$F$48=1</formula>
    </cfRule>
  </conditionalFormatting>
  <conditionalFormatting sqref="H60:Q63">
    <cfRule type="expression" dxfId="10" priority="38">
      <formula>$F$60=1</formula>
    </cfRule>
  </conditionalFormatting>
  <conditionalFormatting sqref="H68:Q71">
    <cfRule type="expression" dxfId="9" priority="36">
      <formula>$F$68=1</formula>
    </cfRule>
  </conditionalFormatting>
  <conditionalFormatting sqref="H52:Q55">
    <cfRule type="expression" dxfId="8" priority="22">
      <formula>$F$52=1</formula>
    </cfRule>
  </conditionalFormatting>
  <conditionalFormatting sqref="H56:Q59">
    <cfRule type="expression" dxfId="7" priority="21">
      <formula>$F$56=1</formula>
    </cfRule>
  </conditionalFormatting>
  <conditionalFormatting sqref="H64:Q67">
    <cfRule type="expression" dxfId="6" priority="19">
      <formula>$F$64=1</formula>
    </cfRule>
  </conditionalFormatting>
  <conditionalFormatting sqref="H72:Q75">
    <cfRule type="expression" dxfId="5" priority="17">
      <formula>$F$72=1</formula>
    </cfRule>
  </conditionalFormatting>
  <conditionalFormatting sqref="H76:Q79">
    <cfRule type="expression" dxfId="4" priority="16">
      <formula>$F$76=1</formula>
    </cfRule>
  </conditionalFormatting>
  <conditionalFormatting sqref="H80:Q83">
    <cfRule type="expression" dxfId="3" priority="15">
      <formula>$F$80=1</formula>
    </cfRule>
  </conditionalFormatting>
  <conditionalFormatting sqref="H84:Q87">
    <cfRule type="expression" dxfId="2" priority="14">
      <formula>$F$84=1</formula>
    </cfRule>
  </conditionalFormatting>
  <conditionalFormatting sqref="H88:Q91">
    <cfRule type="expression" dxfId="1" priority="13">
      <formula>$F$88=1</formula>
    </cfRule>
  </conditionalFormatting>
  <conditionalFormatting sqref="H44:Q47">
    <cfRule type="expression" dxfId="0" priority="12">
      <formula>$F$44=1</formula>
    </cfRule>
  </conditionalFormatting>
  <dataValidations count="1">
    <dataValidation type="list" allowBlank="1" showInputMessage="1" showErrorMessage="1" sqref="N12:N91">
      <formula1>$N$94:$N$95</formula1>
    </dataValidation>
  </dataValidations>
  <printOptions horizontalCentered="1"/>
  <pageMargins left="0.23622047244094499" right="0.23622047244094499" top="0.47244094488188998" bottom="0.47244094488188998" header="0.31496062992126" footer="0.31496062992126"/>
  <pageSetup scale="60" orientation="landscape" r:id="rId1"/>
  <headerFooter alignWithMargins="0">
    <oddFooter>&amp;L&amp;"Arial Narrow,Regular"&amp;F&amp;R&amp;"Arial Narrow,Regular"Página  &amp;P  de  &amp;N</oddFooter>
  </headerFooter>
  <rowBreaks count="1" manualBreakCount="1">
    <brk id="51" min="1" max="16" man="1"/>
  </rowBreaks>
  <ignoredErrors>
    <ignoredError sqref="C12:E91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B200"/>
  <sheetViews>
    <sheetView topLeftCell="A175" workbookViewId="0">
      <selection activeCell="B173" sqref="B173"/>
    </sheetView>
  </sheetViews>
  <sheetFormatPr defaultColWidth="9.140625" defaultRowHeight="12.75" x14ac:dyDescent="0.2"/>
  <cols>
    <col min="1" max="1" width="30.42578125" style="20" bestFit="1" customWidth="1"/>
    <col min="2" max="2" width="45" style="10" customWidth="1"/>
    <col min="3" max="3" width="15.5703125" style="10" customWidth="1"/>
    <col min="4" max="4" width="18.5703125" style="10" customWidth="1"/>
    <col min="5" max="16384" width="9.140625" style="10"/>
  </cols>
  <sheetData>
    <row r="1" spans="1:2" ht="20.25" x14ac:dyDescent="0.3">
      <c r="A1" s="26" t="s">
        <v>29</v>
      </c>
    </row>
    <row r="3" spans="1:2" ht="15.75" x14ac:dyDescent="0.25">
      <c r="A3" s="25" t="s">
        <v>30</v>
      </c>
    </row>
    <row r="5" spans="1:2" x14ac:dyDescent="0.2">
      <c r="A5" s="27" t="s">
        <v>33</v>
      </c>
      <c r="B5" s="21" t="s">
        <v>34</v>
      </c>
    </row>
    <row r="7" spans="1:2" x14ac:dyDescent="0.2">
      <c r="B7" s="22" t="s">
        <v>54</v>
      </c>
    </row>
    <row r="8" spans="1:2" x14ac:dyDescent="0.2">
      <c r="B8" s="22" t="s">
        <v>55</v>
      </c>
    </row>
    <row r="9" spans="1:2" x14ac:dyDescent="0.2">
      <c r="B9" s="22" t="s">
        <v>56</v>
      </c>
    </row>
    <row r="10" spans="1:2" x14ac:dyDescent="0.2">
      <c r="B10" s="22" t="s">
        <v>57</v>
      </c>
    </row>
    <row r="11" spans="1:2" x14ac:dyDescent="0.2">
      <c r="B11" s="22" t="s">
        <v>58</v>
      </c>
    </row>
    <row r="12" spans="1:2" x14ac:dyDescent="0.2">
      <c r="B12" s="22" t="s">
        <v>59</v>
      </c>
    </row>
    <row r="13" spans="1:2" x14ac:dyDescent="0.2">
      <c r="B13" s="22" t="s">
        <v>60</v>
      </c>
    </row>
    <row r="14" spans="1:2" x14ac:dyDescent="0.2">
      <c r="B14" s="22" t="s">
        <v>61</v>
      </c>
    </row>
    <row r="15" spans="1:2" x14ac:dyDescent="0.2">
      <c r="B15" s="22" t="s">
        <v>62</v>
      </c>
    </row>
    <row r="16" spans="1:2" x14ac:dyDescent="0.2">
      <c r="B16" s="22" t="s">
        <v>63</v>
      </c>
    </row>
    <row r="17" spans="1:2" x14ac:dyDescent="0.2">
      <c r="B17" s="22" t="s">
        <v>64</v>
      </c>
    </row>
    <row r="18" spans="1:2" x14ac:dyDescent="0.2">
      <c r="B18" s="22" t="s">
        <v>65</v>
      </c>
    </row>
    <row r="19" spans="1:2" x14ac:dyDescent="0.2">
      <c r="B19" s="22" t="s">
        <v>66</v>
      </c>
    </row>
    <row r="20" spans="1:2" x14ac:dyDescent="0.2">
      <c r="B20" s="22" t="s">
        <v>67</v>
      </c>
    </row>
    <row r="21" spans="1:2" x14ac:dyDescent="0.2">
      <c r="B21" s="22" t="s">
        <v>68</v>
      </c>
    </row>
    <row r="22" spans="1:2" x14ac:dyDescent="0.2">
      <c r="B22" s="22" t="s">
        <v>69</v>
      </c>
    </row>
    <row r="23" spans="1:2" x14ac:dyDescent="0.2">
      <c r="B23" s="22" t="s">
        <v>70</v>
      </c>
    </row>
    <row r="24" spans="1:2" x14ac:dyDescent="0.2">
      <c r="B24" s="22" t="s">
        <v>71</v>
      </c>
    </row>
    <row r="25" spans="1:2" x14ac:dyDescent="0.2">
      <c r="B25" s="22" t="s">
        <v>72</v>
      </c>
    </row>
    <row r="26" spans="1:2" x14ac:dyDescent="0.2">
      <c r="B26" s="22" t="s">
        <v>73</v>
      </c>
    </row>
    <row r="28" spans="1:2" x14ac:dyDescent="0.2">
      <c r="A28" s="27" t="s">
        <v>35</v>
      </c>
      <c r="B28" s="21" t="s">
        <v>36</v>
      </c>
    </row>
    <row r="30" spans="1:2" x14ac:dyDescent="0.2">
      <c r="B30" s="22" t="s">
        <v>94</v>
      </c>
    </row>
    <row r="31" spans="1:2" x14ac:dyDescent="0.2">
      <c r="B31" s="22" t="s">
        <v>95</v>
      </c>
    </row>
    <row r="32" spans="1:2" x14ac:dyDescent="0.2">
      <c r="B32" s="22" t="s">
        <v>96</v>
      </c>
    </row>
    <row r="33" spans="2:2" x14ac:dyDescent="0.2">
      <c r="B33" s="22" t="s">
        <v>97</v>
      </c>
    </row>
    <row r="34" spans="2:2" x14ac:dyDescent="0.2">
      <c r="B34" s="22" t="s">
        <v>98</v>
      </c>
    </row>
    <row r="35" spans="2:2" x14ac:dyDescent="0.2">
      <c r="B35" s="22" t="s">
        <v>99</v>
      </c>
    </row>
    <row r="36" spans="2:2" x14ac:dyDescent="0.2">
      <c r="B36" s="22" t="s">
        <v>100</v>
      </c>
    </row>
    <row r="37" spans="2:2" x14ac:dyDescent="0.2">
      <c r="B37" s="22" t="s">
        <v>101</v>
      </c>
    </row>
    <row r="38" spans="2:2" x14ac:dyDescent="0.2">
      <c r="B38" s="22" t="s">
        <v>102</v>
      </c>
    </row>
    <row r="39" spans="2:2" x14ac:dyDescent="0.2">
      <c r="B39" s="22" t="s">
        <v>103</v>
      </c>
    </row>
    <row r="40" spans="2:2" x14ac:dyDescent="0.2">
      <c r="B40" s="22" t="s">
        <v>104</v>
      </c>
    </row>
    <row r="41" spans="2:2" x14ac:dyDescent="0.2">
      <c r="B41" s="22" t="s">
        <v>105</v>
      </c>
    </row>
    <row r="42" spans="2:2" x14ac:dyDescent="0.2">
      <c r="B42" s="22" t="s">
        <v>106</v>
      </c>
    </row>
    <row r="43" spans="2:2" x14ac:dyDescent="0.2">
      <c r="B43" s="22" t="s">
        <v>107</v>
      </c>
    </row>
    <row r="44" spans="2:2" x14ac:dyDescent="0.2">
      <c r="B44" s="22" t="s">
        <v>108</v>
      </c>
    </row>
    <row r="45" spans="2:2" x14ac:dyDescent="0.2">
      <c r="B45" s="22" t="s">
        <v>109</v>
      </c>
    </row>
    <row r="46" spans="2:2" x14ac:dyDescent="0.2">
      <c r="B46" s="22" t="s">
        <v>110</v>
      </c>
    </row>
    <row r="47" spans="2:2" x14ac:dyDescent="0.2">
      <c r="B47" s="22" t="s">
        <v>111</v>
      </c>
    </row>
    <row r="48" spans="2:2" x14ac:dyDescent="0.2">
      <c r="B48" s="22" t="s">
        <v>112</v>
      </c>
    </row>
    <row r="49" spans="1:2" x14ac:dyDescent="0.2">
      <c r="B49" s="22" t="s">
        <v>113</v>
      </c>
    </row>
    <row r="51" spans="1:2" x14ac:dyDescent="0.2">
      <c r="A51" s="27" t="s">
        <v>31</v>
      </c>
      <c r="B51" s="21" t="s">
        <v>32</v>
      </c>
    </row>
    <row r="53" spans="1:2" x14ac:dyDescent="0.2">
      <c r="B53" s="24" t="s">
        <v>74</v>
      </c>
    </row>
    <row r="54" spans="1:2" x14ac:dyDescent="0.2">
      <c r="B54" s="22" t="s">
        <v>75</v>
      </c>
    </row>
    <row r="55" spans="1:2" x14ac:dyDescent="0.2">
      <c r="B55" s="24" t="s">
        <v>76</v>
      </c>
    </row>
    <row r="56" spans="1:2" x14ac:dyDescent="0.2">
      <c r="B56" s="22" t="s">
        <v>77</v>
      </c>
    </row>
    <row r="57" spans="1:2" x14ac:dyDescent="0.2">
      <c r="B57" s="24" t="s">
        <v>78</v>
      </c>
    </row>
    <row r="58" spans="1:2" x14ac:dyDescent="0.2">
      <c r="B58" s="22" t="s">
        <v>79</v>
      </c>
    </row>
    <row r="59" spans="1:2" x14ac:dyDescent="0.2">
      <c r="B59" s="24" t="s">
        <v>80</v>
      </c>
    </row>
    <row r="60" spans="1:2" x14ac:dyDescent="0.2">
      <c r="B60" s="22" t="s">
        <v>81</v>
      </c>
    </row>
    <row r="61" spans="1:2" x14ac:dyDescent="0.2">
      <c r="B61" s="24" t="s">
        <v>82</v>
      </c>
    </row>
    <row r="62" spans="1:2" x14ac:dyDescent="0.2">
      <c r="B62" s="22" t="s">
        <v>83</v>
      </c>
    </row>
    <row r="63" spans="1:2" x14ac:dyDescent="0.2">
      <c r="B63" s="24" t="s">
        <v>84</v>
      </c>
    </row>
    <row r="64" spans="1:2" x14ac:dyDescent="0.2">
      <c r="B64" s="22" t="s">
        <v>85</v>
      </c>
    </row>
    <row r="65" spans="1:2" x14ac:dyDescent="0.2">
      <c r="B65" s="24" t="s">
        <v>86</v>
      </c>
    </row>
    <row r="66" spans="1:2" x14ac:dyDescent="0.2">
      <c r="B66" s="22" t="s">
        <v>87</v>
      </c>
    </row>
    <row r="67" spans="1:2" x14ac:dyDescent="0.2">
      <c r="B67" s="24" t="s">
        <v>88</v>
      </c>
    </row>
    <row r="68" spans="1:2" x14ac:dyDescent="0.2">
      <c r="B68" s="22" t="s">
        <v>89</v>
      </c>
    </row>
    <row r="69" spans="1:2" x14ac:dyDescent="0.2">
      <c r="B69" s="24" t="s">
        <v>90</v>
      </c>
    </row>
    <row r="70" spans="1:2" x14ac:dyDescent="0.2">
      <c r="B70" s="22" t="s">
        <v>91</v>
      </c>
    </row>
    <row r="71" spans="1:2" x14ac:dyDescent="0.2">
      <c r="B71" s="24" t="s">
        <v>92</v>
      </c>
    </row>
    <row r="72" spans="1:2" x14ac:dyDescent="0.2">
      <c r="B72" s="22" t="s">
        <v>93</v>
      </c>
    </row>
    <row r="74" spans="1:2" x14ac:dyDescent="0.2">
      <c r="A74" s="27" t="s">
        <v>40</v>
      </c>
      <c r="B74" s="21" t="s">
        <v>39</v>
      </c>
    </row>
    <row r="76" spans="1:2" x14ac:dyDescent="0.2">
      <c r="A76" s="27" t="s">
        <v>38</v>
      </c>
      <c r="B76" s="21" t="s">
        <v>37</v>
      </c>
    </row>
    <row r="78" spans="1:2" x14ac:dyDescent="0.2">
      <c r="A78" s="27" t="s">
        <v>41</v>
      </c>
      <c r="B78" s="21" t="s">
        <v>42</v>
      </c>
    </row>
    <row r="80" spans="1:2" x14ac:dyDescent="0.2">
      <c r="B80" s="22" t="s">
        <v>117</v>
      </c>
    </row>
    <row r="81" spans="2:2" x14ac:dyDescent="0.2">
      <c r="B81" s="22" t="s">
        <v>118</v>
      </c>
    </row>
    <row r="82" spans="2:2" x14ac:dyDescent="0.2">
      <c r="B82" s="22" t="s">
        <v>119</v>
      </c>
    </row>
    <row r="83" spans="2:2" x14ac:dyDescent="0.2">
      <c r="B83" s="22" t="s">
        <v>120</v>
      </c>
    </row>
    <row r="84" spans="2:2" x14ac:dyDescent="0.2">
      <c r="B84" s="22" t="s">
        <v>121</v>
      </c>
    </row>
    <row r="85" spans="2:2" x14ac:dyDescent="0.2">
      <c r="B85" s="22" t="s">
        <v>122</v>
      </c>
    </row>
    <row r="86" spans="2:2" x14ac:dyDescent="0.2">
      <c r="B86" s="22" t="s">
        <v>123</v>
      </c>
    </row>
    <row r="87" spans="2:2" x14ac:dyDescent="0.2">
      <c r="B87" s="22" t="s">
        <v>124</v>
      </c>
    </row>
    <row r="88" spans="2:2" x14ac:dyDescent="0.2">
      <c r="B88" s="22" t="s">
        <v>125</v>
      </c>
    </row>
    <row r="89" spans="2:2" x14ac:dyDescent="0.2">
      <c r="B89" s="22" t="s">
        <v>126</v>
      </c>
    </row>
    <row r="90" spans="2:2" x14ac:dyDescent="0.2">
      <c r="B90" s="22" t="s">
        <v>127</v>
      </c>
    </row>
    <row r="91" spans="2:2" x14ac:dyDescent="0.2">
      <c r="B91" s="22" t="s">
        <v>128</v>
      </c>
    </row>
    <row r="92" spans="2:2" x14ac:dyDescent="0.2">
      <c r="B92" s="22" t="s">
        <v>129</v>
      </c>
    </row>
    <row r="93" spans="2:2" x14ac:dyDescent="0.2">
      <c r="B93" s="22" t="s">
        <v>130</v>
      </c>
    </row>
    <row r="94" spans="2:2" x14ac:dyDescent="0.2">
      <c r="B94" s="22" t="s">
        <v>131</v>
      </c>
    </row>
    <row r="95" spans="2:2" x14ac:dyDescent="0.2">
      <c r="B95" s="22" t="s">
        <v>132</v>
      </c>
    </row>
    <row r="96" spans="2:2" x14ac:dyDescent="0.2">
      <c r="B96" s="22" t="s">
        <v>133</v>
      </c>
    </row>
    <row r="97" spans="1:2" x14ac:dyDescent="0.2">
      <c r="B97" s="22" t="s">
        <v>134</v>
      </c>
    </row>
    <row r="98" spans="1:2" x14ac:dyDescent="0.2">
      <c r="B98" s="22" t="s">
        <v>135</v>
      </c>
    </row>
    <row r="99" spans="1:2" x14ac:dyDescent="0.2">
      <c r="B99" s="22" t="s">
        <v>136</v>
      </c>
    </row>
    <row r="101" spans="1:2" x14ac:dyDescent="0.2">
      <c r="A101" s="27" t="s">
        <v>43</v>
      </c>
      <c r="B101" s="21" t="s">
        <v>44</v>
      </c>
    </row>
    <row r="103" spans="1:2" x14ac:dyDescent="0.2">
      <c r="B103" s="22" t="s">
        <v>137</v>
      </c>
    </row>
    <row r="104" spans="1:2" x14ac:dyDescent="0.2">
      <c r="B104" s="22" t="s">
        <v>138</v>
      </c>
    </row>
    <row r="105" spans="1:2" x14ac:dyDescent="0.2">
      <c r="B105" s="22" t="s">
        <v>139</v>
      </c>
    </row>
    <row r="106" spans="1:2" x14ac:dyDescent="0.2">
      <c r="B106" s="22" t="s">
        <v>140</v>
      </c>
    </row>
    <row r="107" spans="1:2" x14ac:dyDescent="0.2">
      <c r="B107" s="22" t="s">
        <v>141</v>
      </c>
    </row>
    <row r="108" spans="1:2" x14ac:dyDescent="0.2">
      <c r="B108" s="22" t="s">
        <v>142</v>
      </c>
    </row>
    <row r="109" spans="1:2" x14ac:dyDescent="0.2">
      <c r="B109" s="22" t="s">
        <v>143</v>
      </c>
    </row>
    <row r="110" spans="1:2" x14ac:dyDescent="0.2">
      <c r="B110" s="22" t="s">
        <v>144</v>
      </c>
    </row>
    <row r="111" spans="1:2" x14ac:dyDescent="0.2">
      <c r="B111" s="22" t="s">
        <v>145</v>
      </c>
    </row>
    <row r="112" spans="1:2" x14ac:dyDescent="0.2">
      <c r="B112" s="22" t="s">
        <v>146</v>
      </c>
    </row>
    <row r="113" spans="1:2" x14ac:dyDescent="0.2">
      <c r="B113" s="22" t="s">
        <v>147</v>
      </c>
    </row>
    <row r="114" spans="1:2" x14ac:dyDescent="0.2">
      <c r="B114" s="22" t="s">
        <v>148</v>
      </c>
    </row>
    <row r="115" spans="1:2" x14ac:dyDescent="0.2">
      <c r="B115" s="22" t="s">
        <v>149</v>
      </c>
    </row>
    <row r="116" spans="1:2" x14ac:dyDescent="0.2">
      <c r="B116" s="22" t="s">
        <v>150</v>
      </c>
    </row>
    <row r="117" spans="1:2" x14ac:dyDescent="0.2">
      <c r="B117" s="22" t="s">
        <v>151</v>
      </c>
    </row>
    <row r="118" spans="1:2" x14ac:dyDescent="0.2">
      <c r="B118" s="22" t="s">
        <v>152</v>
      </c>
    </row>
    <row r="119" spans="1:2" x14ac:dyDescent="0.2">
      <c r="B119" s="22" t="s">
        <v>153</v>
      </c>
    </row>
    <row r="120" spans="1:2" x14ac:dyDescent="0.2">
      <c r="B120" s="22" t="s">
        <v>154</v>
      </c>
    </row>
    <row r="121" spans="1:2" x14ac:dyDescent="0.2">
      <c r="B121" s="22" t="s">
        <v>155</v>
      </c>
    </row>
    <row r="122" spans="1:2" x14ac:dyDescent="0.2">
      <c r="B122" s="22" t="s">
        <v>156</v>
      </c>
    </row>
    <row r="124" spans="1:2" x14ac:dyDescent="0.2">
      <c r="A124" s="27" t="s">
        <v>46</v>
      </c>
      <c r="B124" s="21" t="s">
        <v>45</v>
      </c>
    </row>
    <row r="126" spans="1:2" x14ac:dyDescent="0.2">
      <c r="A126" s="27" t="s">
        <v>49</v>
      </c>
      <c r="B126" s="21" t="s">
        <v>48</v>
      </c>
    </row>
    <row r="128" spans="1:2" x14ac:dyDescent="0.2">
      <c r="B128" s="22" t="s">
        <v>157</v>
      </c>
    </row>
    <row r="129" spans="2:2" x14ac:dyDescent="0.2">
      <c r="B129" s="22" t="s">
        <v>158</v>
      </c>
    </row>
    <row r="130" spans="2:2" x14ac:dyDescent="0.2">
      <c r="B130" s="22" t="s">
        <v>159</v>
      </c>
    </row>
    <row r="131" spans="2:2" x14ac:dyDescent="0.2">
      <c r="B131" s="22" t="s">
        <v>160</v>
      </c>
    </row>
    <row r="132" spans="2:2" x14ac:dyDescent="0.2">
      <c r="B132" s="22" t="s">
        <v>161</v>
      </c>
    </row>
    <row r="133" spans="2:2" x14ac:dyDescent="0.2">
      <c r="B133" s="22" t="s">
        <v>162</v>
      </c>
    </row>
    <row r="134" spans="2:2" x14ac:dyDescent="0.2">
      <c r="B134" s="22" t="s">
        <v>163</v>
      </c>
    </row>
    <row r="135" spans="2:2" x14ac:dyDescent="0.2">
      <c r="B135" s="22" t="s">
        <v>164</v>
      </c>
    </row>
    <row r="136" spans="2:2" x14ac:dyDescent="0.2">
      <c r="B136" s="22" t="s">
        <v>165</v>
      </c>
    </row>
    <row r="137" spans="2:2" x14ac:dyDescent="0.2">
      <c r="B137" s="22" t="s">
        <v>166</v>
      </c>
    </row>
    <row r="138" spans="2:2" x14ac:dyDescent="0.2">
      <c r="B138" s="22" t="s">
        <v>167</v>
      </c>
    </row>
    <row r="139" spans="2:2" x14ac:dyDescent="0.2">
      <c r="B139" s="22" t="s">
        <v>168</v>
      </c>
    </row>
    <row r="140" spans="2:2" x14ac:dyDescent="0.2">
      <c r="B140" s="22" t="s">
        <v>169</v>
      </c>
    </row>
    <row r="141" spans="2:2" x14ac:dyDescent="0.2">
      <c r="B141" s="22" t="s">
        <v>170</v>
      </c>
    </row>
    <row r="142" spans="2:2" x14ac:dyDescent="0.2">
      <c r="B142" s="22" t="s">
        <v>171</v>
      </c>
    </row>
    <row r="143" spans="2:2" x14ac:dyDescent="0.2">
      <c r="B143" s="22" t="s">
        <v>172</v>
      </c>
    </row>
    <row r="144" spans="2:2" x14ac:dyDescent="0.2">
      <c r="B144" s="22" t="s">
        <v>173</v>
      </c>
    </row>
    <row r="145" spans="1:2" x14ac:dyDescent="0.2">
      <c r="B145" s="22" t="s">
        <v>174</v>
      </c>
    </row>
    <row r="146" spans="1:2" x14ac:dyDescent="0.2">
      <c r="B146" s="22" t="s">
        <v>175</v>
      </c>
    </row>
    <row r="147" spans="1:2" x14ac:dyDescent="0.2">
      <c r="B147" s="22" t="s">
        <v>176</v>
      </c>
    </row>
    <row r="149" spans="1:2" x14ac:dyDescent="0.2">
      <c r="A149" s="27" t="s">
        <v>50</v>
      </c>
      <c r="B149" s="21" t="s">
        <v>47</v>
      </c>
    </row>
    <row r="151" spans="1:2" x14ac:dyDescent="0.2">
      <c r="B151" s="22" t="s">
        <v>177</v>
      </c>
    </row>
    <row r="152" spans="1:2" x14ac:dyDescent="0.2">
      <c r="B152" s="22" t="s">
        <v>178</v>
      </c>
    </row>
    <row r="153" spans="1:2" x14ac:dyDescent="0.2">
      <c r="B153" s="22" t="s">
        <v>179</v>
      </c>
    </row>
    <row r="154" spans="1:2" x14ac:dyDescent="0.2">
      <c r="B154" s="22" t="s">
        <v>180</v>
      </c>
    </row>
    <row r="155" spans="1:2" x14ac:dyDescent="0.2">
      <c r="B155" s="22" t="s">
        <v>181</v>
      </c>
    </row>
    <row r="156" spans="1:2" x14ac:dyDescent="0.2">
      <c r="B156" s="22" t="s">
        <v>182</v>
      </c>
    </row>
    <row r="157" spans="1:2" x14ac:dyDescent="0.2">
      <c r="B157" s="22" t="s">
        <v>183</v>
      </c>
    </row>
    <row r="158" spans="1:2" x14ac:dyDescent="0.2">
      <c r="B158" s="22" t="s">
        <v>184</v>
      </c>
    </row>
    <row r="159" spans="1:2" x14ac:dyDescent="0.2">
      <c r="B159" s="22" t="s">
        <v>185</v>
      </c>
    </row>
    <row r="160" spans="1:2" x14ac:dyDescent="0.2">
      <c r="B160" s="22" t="s">
        <v>186</v>
      </c>
    </row>
    <row r="161" spans="1:2" x14ac:dyDescent="0.2">
      <c r="B161" s="22" t="s">
        <v>187</v>
      </c>
    </row>
    <row r="162" spans="1:2" x14ac:dyDescent="0.2">
      <c r="B162" s="22" t="s">
        <v>188</v>
      </c>
    </row>
    <row r="163" spans="1:2" x14ac:dyDescent="0.2">
      <c r="B163" s="22" t="s">
        <v>189</v>
      </c>
    </row>
    <row r="164" spans="1:2" x14ac:dyDescent="0.2">
      <c r="B164" s="22" t="s">
        <v>190</v>
      </c>
    </row>
    <row r="165" spans="1:2" x14ac:dyDescent="0.2">
      <c r="B165" s="22" t="s">
        <v>191</v>
      </c>
    </row>
    <row r="166" spans="1:2" x14ac:dyDescent="0.2">
      <c r="B166" s="22" t="s">
        <v>192</v>
      </c>
    </row>
    <row r="167" spans="1:2" x14ac:dyDescent="0.2">
      <c r="B167" s="22" t="s">
        <v>193</v>
      </c>
    </row>
    <row r="168" spans="1:2" x14ac:dyDescent="0.2">
      <c r="B168" s="22" t="s">
        <v>194</v>
      </c>
    </row>
    <row r="169" spans="1:2" x14ac:dyDescent="0.2">
      <c r="B169" s="22" t="s">
        <v>195</v>
      </c>
    </row>
    <row r="170" spans="1:2" x14ac:dyDescent="0.2">
      <c r="B170" s="22" t="s">
        <v>196</v>
      </c>
    </row>
    <row r="173" spans="1:2" x14ac:dyDescent="0.2">
      <c r="A173" s="27" t="s">
        <v>52</v>
      </c>
      <c r="B173" s="23" t="s">
        <v>207</v>
      </c>
    </row>
    <row r="175" spans="1:2" x14ac:dyDescent="0.2">
      <c r="A175" s="27" t="s">
        <v>208</v>
      </c>
      <c r="B175" s="21" t="s">
        <v>209</v>
      </c>
    </row>
    <row r="177" spans="1:2" x14ac:dyDescent="0.2">
      <c r="A177" s="27" t="s">
        <v>210</v>
      </c>
      <c r="B177" s="23" t="s">
        <v>211</v>
      </c>
    </row>
    <row r="179" spans="1:2" x14ac:dyDescent="0.2">
      <c r="A179" s="27" t="s">
        <v>212</v>
      </c>
      <c r="B179" s="23" t="s">
        <v>214</v>
      </c>
    </row>
    <row r="181" spans="1:2" x14ac:dyDescent="0.2">
      <c r="A181" s="27" t="s">
        <v>213</v>
      </c>
      <c r="B181" s="23" t="s">
        <v>215</v>
      </c>
    </row>
    <row r="183" spans="1:2" x14ac:dyDescent="0.2">
      <c r="A183" s="27" t="s">
        <v>216</v>
      </c>
      <c r="B183" s="23" t="s">
        <v>217</v>
      </c>
    </row>
    <row r="185" spans="1:2" x14ac:dyDescent="0.2">
      <c r="A185" s="27" t="s">
        <v>218</v>
      </c>
      <c r="B185" s="23" t="s">
        <v>219</v>
      </c>
    </row>
    <row r="187" spans="1:2" x14ac:dyDescent="0.2">
      <c r="A187" s="27" t="s">
        <v>220</v>
      </c>
      <c r="B187" s="23" t="s">
        <v>221</v>
      </c>
    </row>
    <row r="189" spans="1:2" x14ac:dyDescent="0.2">
      <c r="A189" s="27" t="s">
        <v>53</v>
      </c>
      <c r="B189" s="23" t="s">
        <v>222</v>
      </c>
    </row>
    <row r="191" spans="1:2" x14ac:dyDescent="0.2">
      <c r="A191" s="27" t="s">
        <v>223</v>
      </c>
      <c r="B191" s="23" t="s">
        <v>224</v>
      </c>
    </row>
    <row r="193" spans="1:2" x14ac:dyDescent="0.2">
      <c r="A193" s="27" t="s">
        <v>225</v>
      </c>
      <c r="B193" s="23" t="s">
        <v>226</v>
      </c>
    </row>
    <row r="194" spans="1:2" ht="13.5" x14ac:dyDescent="0.25">
      <c r="A194" s="18"/>
    </row>
    <row r="195" spans="1:2" ht="13.5" x14ac:dyDescent="0.25">
      <c r="A195" s="18"/>
    </row>
    <row r="196" spans="1:2" ht="13.5" x14ac:dyDescent="0.25">
      <c r="A196" s="18"/>
    </row>
    <row r="197" spans="1:2" ht="13.5" x14ac:dyDescent="0.25">
      <c r="A197" s="18"/>
    </row>
    <row r="198" spans="1:2" ht="13.5" x14ac:dyDescent="0.25">
      <c r="A198" s="19"/>
    </row>
    <row r="200" spans="1:2" ht="13.5" x14ac:dyDescent="0.25">
      <c r="A200" s="18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08906EEB8136F74FA146255C7A556015" ma:contentTypeVersion="0" ma:contentTypeDescription="A content type to manage public (operations) IDB documents" ma:contentTypeScope="" ma:versionID="6d5525b9b9db585d191aeea75534aed2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bfe46e4c83422ab72b735076e7988d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7e3e8b7-b0c0-4a85-90a4-39ae7e6b1e0c}" ma:internalName="TaxCatchAll" ma:showField="CatchAllData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7e3e8b7-b0c0-4a85-90a4-39ae7e6b1e0c}" ma:internalName="TaxCatchAllLabel" ma:readOnly="true" ma:showField="CatchAllDataLabel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SCL/SPH</Division_x0020_or_x0020_Unit>
    <Other_x0020_Author xmlns="9c571b2f-e523-4ab2-ba2e-09e151a03ef4" xsi:nil="true"/>
    <Region xmlns="9c571b2f-e523-4ab2-ba2e-09e151a03ef4" xsi:nil="true"/>
    <IDBDocs_x0020_Number xmlns="9c571b2f-e523-4ab2-ba2e-09e151a03ef4">40426753</IDBDocs_x0020_Number>
    <Document_x0020_Author xmlns="9c571b2f-e523-4ab2-ba2e-09e151a03ef4">Sanchez, Mario Alberto</Document_x0020_Author>
    <Publication_x0020_Type xmlns="9c571b2f-e523-4ab2-ba2e-09e151a03ef4" xsi:nil="true"/>
    <Operation_x0020_Type xmlns="9c571b2f-e523-4ab2-ba2e-09e151a03ef4" xsi:nil="true"/>
    <TaxCatchAll xmlns="9c571b2f-e523-4ab2-ba2e-09e151a03ef4">
      <Value>2</Value>
      <Value>4</Value>
    </TaxCatchAll>
    <Fiscal_x0020_Year_x0020_IDB xmlns="9c571b2f-e523-4ab2-ba2e-09e151a03ef4">2016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AR-L1196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Proposal&lt;/USER_STAGE&gt;&lt;PD_OBJ_TYPE&gt;0&lt;/PD_OBJ_TYPE&gt;&lt;DTAPPROVAL&gt;Oct 19 2016 12:00AM&lt;/DTAPPROVAL&gt;&lt;MAKERECORD&gt;N&lt;/MAKERECORD&gt;&lt;/Data&gt;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IS-INS</Webtopic>
    <Identifier xmlns="9c571b2f-e523-4ab2-ba2e-09e151a03ef4">PR-4426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99C275F5-7F62-4AA2-830A-BEE2B0635230}"/>
</file>

<file path=customXml/itemProps2.xml><?xml version="1.0" encoding="utf-8"?>
<ds:datastoreItem xmlns:ds="http://schemas.openxmlformats.org/officeDocument/2006/customXml" ds:itemID="{873CD10B-DA0B-459A-9DAE-BDBCDA476AE8}"/>
</file>

<file path=customXml/itemProps3.xml><?xml version="1.0" encoding="utf-8"?>
<ds:datastoreItem xmlns:ds="http://schemas.openxmlformats.org/officeDocument/2006/customXml" ds:itemID="{5707B6FB-CD09-414E-99B6-8C680941B22A}"/>
</file>

<file path=customXml/itemProps4.xml><?xml version="1.0" encoding="utf-8"?>
<ds:datastoreItem xmlns:ds="http://schemas.openxmlformats.org/officeDocument/2006/customXml" ds:itemID="{AC40F2B6-0EFE-4B1E-967C-3EDE0C0CF15F}"/>
</file>

<file path=customXml/itemProps5.xml><?xml version="1.0" encoding="utf-8"?>
<ds:datastoreItem xmlns:ds="http://schemas.openxmlformats.org/officeDocument/2006/customXml" ds:itemID="{749137CC-5479-49CC-AE66-D5318FFA40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146</vt:i4>
      </vt:variant>
    </vt:vector>
  </HeadingPairs>
  <TitlesOfParts>
    <vt:vector size="150" baseType="lpstr">
      <vt:lpstr>RRF</vt:lpstr>
      <vt:lpstr>MER</vt:lpstr>
      <vt:lpstr>MMR</vt:lpstr>
      <vt:lpstr>Settings</vt:lpstr>
      <vt:lpstr>Component1</vt:lpstr>
      <vt:lpstr>Component10</vt:lpstr>
      <vt:lpstr>Component11</vt:lpstr>
      <vt:lpstr>Component12</vt:lpstr>
      <vt:lpstr>Component13</vt:lpstr>
      <vt:lpstr>Component14</vt:lpstr>
      <vt:lpstr>Component15</vt:lpstr>
      <vt:lpstr>Component16</vt:lpstr>
      <vt:lpstr>Component17</vt:lpstr>
      <vt:lpstr>Component18</vt:lpstr>
      <vt:lpstr>Component19</vt:lpstr>
      <vt:lpstr>Component2</vt:lpstr>
      <vt:lpstr>Component20</vt:lpstr>
      <vt:lpstr>Component3</vt:lpstr>
      <vt:lpstr>Component4</vt:lpstr>
      <vt:lpstr>Component5</vt:lpstr>
      <vt:lpstr>Component6</vt:lpstr>
      <vt:lpstr>Component7</vt:lpstr>
      <vt:lpstr>Component8</vt:lpstr>
      <vt:lpstr>Component9</vt:lpstr>
      <vt:lpstr>Impact1</vt:lpstr>
      <vt:lpstr>Impact10</vt:lpstr>
      <vt:lpstr>Impact11</vt:lpstr>
      <vt:lpstr>Impact12</vt:lpstr>
      <vt:lpstr>Impact13</vt:lpstr>
      <vt:lpstr>Impact14</vt:lpstr>
      <vt:lpstr>Impact15</vt:lpstr>
      <vt:lpstr>Impact16</vt:lpstr>
      <vt:lpstr>Impact17</vt:lpstr>
      <vt:lpstr>Impact18</vt:lpstr>
      <vt:lpstr>Impact19</vt:lpstr>
      <vt:lpstr>Impact2</vt:lpstr>
      <vt:lpstr>Impact20</vt:lpstr>
      <vt:lpstr>Impact3</vt:lpstr>
      <vt:lpstr>Impact4</vt:lpstr>
      <vt:lpstr>Impact5</vt:lpstr>
      <vt:lpstr>Impact6</vt:lpstr>
      <vt:lpstr>Impact7</vt:lpstr>
      <vt:lpstr>Impact8</vt:lpstr>
      <vt:lpstr>Impact9</vt:lpstr>
      <vt:lpstr>Level1</vt:lpstr>
      <vt:lpstr>Level10</vt:lpstr>
      <vt:lpstr>Level11</vt:lpstr>
      <vt:lpstr>Level12</vt:lpstr>
      <vt:lpstr>Level13</vt:lpstr>
      <vt:lpstr>Level14</vt:lpstr>
      <vt:lpstr>Level15</vt:lpstr>
      <vt:lpstr>Level16</vt:lpstr>
      <vt:lpstr>Level17</vt:lpstr>
      <vt:lpstr>Level18</vt:lpstr>
      <vt:lpstr>Level19</vt:lpstr>
      <vt:lpstr>Level2</vt:lpstr>
      <vt:lpstr>Level20</vt:lpstr>
      <vt:lpstr>Level3</vt:lpstr>
      <vt:lpstr>Level4</vt:lpstr>
      <vt:lpstr>Level5</vt:lpstr>
      <vt:lpstr>Level6</vt:lpstr>
      <vt:lpstr>Level7</vt:lpstr>
      <vt:lpstr>Level8</vt:lpstr>
      <vt:lpstr>Level9</vt:lpstr>
      <vt:lpstr>MER!Print_Area</vt:lpstr>
      <vt:lpstr>MMR!Print_Area</vt:lpstr>
      <vt:lpstr>RRF!Print_Area</vt:lpstr>
      <vt:lpstr>MER!Print_Titles</vt:lpstr>
      <vt:lpstr>MMR!Print_Titles</vt:lpstr>
      <vt:lpstr>RRF!Print_Titles</vt:lpstr>
      <vt:lpstr>Probability1</vt:lpstr>
      <vt:lpstr>Probability10</vt:lpstr>
      <vt:lpstr>Probability11</vt:lpstr>
      <vt:lpstr>Probability12</vt:lpstr>
      <vt:lpstr>Probability13</vt:lpstr>
      <vt:lpstr>Probability14</vt:lpstr>
      <vt:lpstr>Probability15</vt:lpstr>
      <vt:lpstr>Probability16</vt:lpstr>
      <vt:lpstr>Probability17</vt:lpstr>
      <vt:lpstr>Probability18</vt:lpstr>
      <vt:lpstr>Probability19</vt:lpstr>
      <vt:lpstr>Probability2</vt:lpstr>
      <vt:lpstr>Probability20</vt:lpstr>
      <vt:lpstr>Probability3</vt:lpstr>
      <vt:lpstr>Probability4</vt:lpstr>
      <vt:lpstr>Probability5</vt:lpstr>
      <vt:lpstr>Probability6</vt:lpstr>
      <vt:lpstr>Probability7</vt:lpstr>
      <vt:lpstr>Probability8</vt:lpstr>
      <vt:lpstr>Probability9</vt:lpstr>
      <vt:lpstr>Risk1</vt:lpstr>
      <vt:lpstr>Risk10</vt:lpstr>
      <vt:lpstr>Risk11</vt:lpstr>
      <vt:lpstr>Risk12</vt:lpstr>
      <vt:lpstr>Risk13</vt:lpstr>
      <vt:lpstr>Risk14</vt:lpstr>
      <vt:lpstr>Risk15</vt:lpstr>
      <vt:lpstr>Risk16</vt:lpstr>
      <vt:lpstr>Risk17</vt:lpstr>
      <vt:lpstr>Risk18</vt:lpstr>
      <vt:lpstr>Risk19</vt:lpstr>
      <vt:lpstr>Risk2</vt:lpstr>
      <vt:lpstr>Risk20</vt:lpstr>
      <vt:lpstr>Risk3</vt:lpstr>
      <vt:lpstr>Risk4</vt:lpstr>
      <vt:lpstr>Risk5</vt:lpstr>
      <vt:lpstr>Risk6</vt:lpstr>
      <vt:lpstr>Risk7</vt:lpstr>
      <vt:lpstr>Risk8</vt:lpstr>
      <vt:lpstr>Risk9</vt:lpstr>
      <vt:lpstr>Typeofrisk1</vt:lpstr>
      <vt:lpstr>Typeofrisk10</vt:lpstr>
      <vt:lpstr>Typeofrisk11</vt:lpstr>
      <vt:lpstr>Typeofrisk12</vt:lpstr>
      <vt:lpstr>Typeofrisk13</vt:lpstr>
      <vt:lpstr>Typeofrisk14</vt:lpstr>
      <vt:lpstr>Typeofrisk15</vt:lpstr>
      <vt:lpstr>Typeofrisk16</vt:lpstr>
      <vt:lpstr>Typeofrisk17</vt:lpstr>
      <vt:lpstr>Typeofrisk18</vt:lpstr>
      <vt:lpstr>Typeofrisk19</vt:lpstr>
      <vt:lpstr>Typeofrisk2</vt:lpstr>
      <vt:lpstr>Typeofrisk20</vt:lpstr>
      <vt:lpstr>Typeofrisk3</vt:lpstr>
      <vt:lpstr>Typeofrisk4</vt:lpstr>
      <vt:lpstr>Typeofrisk5</vt:lpstr>
      <vt:lpstr>Typeofrisk6</vt:lpstr>
      <vt:lpstr>Typeofrisk7</vt:lpstr>
      <vt:lpstr>Typeofrisk8</vt:lpstr>
      <vt:lpstr>Typeofrisk9</vt:lpstr>
      <vt:lpstr>Value1</vt:lpstr>
      <vt:lpstr>Value10</vt:lpstr>
      <vt:lpstr>Value11</vt:lpstr>
      <vt:lpstr>Value12</vt:lpstr>
      <vt:lpstr>Value13</vt:lpstr>
      <vt:lpstr>Value14</vt:lpstr>
      <vt:lpstr>Value15</vt:lpstr>
      <vt:lpstr>Value16</vt:lpstr>
      <vt:lpstr>Value17</vt:lpstr>
      <vt:lpstr>Value18</vt:lpstr>
      <vt:lpstr>Value19</vt:lpstr>
      <vt:lpstr>Value2</vt:lpstr>
      <vt:lpstr>Value20</vt:lpstr>
      <vt:lpstr>Value3</vt:lpstr>
      <vt:lpstr>Value4</vt:lpstr>
      <vt:lpstr>Value5</vt:lpstr>
      <vt:lpstr>Value6</vt:lpstr>
      <vt:lpstr>Value7</vt:lpstr>
      <vt:lpstr>Value8</vt:lpstr>
      <vt:lpstr>Value9</vt:lpstr>
    </vt:vector>
  </TitlesOfParts>
  <Company>Banco Interamericano de Desarrollo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opc_ Matriz de Gestión de Riesgos</dc:title>
  <dc:creator>Jorge Quinteros VPC/PDP</dc:creator>
  <cp:lastModifiedBy>Inter-American Development Bank</cp:lastModifiedBy>
  <cp:lastPrinted>2010-02-04T17:01:30Z</cp:lastPrinted>
  <dcterms:created xsi:type="dcterms:W3CDTF">2008-01-14T22:04:09Z</dcterms:created>
  <dcterms:modified xsi:type="dcterms:W3CDTF">2016-08-12T17:34:56Z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ContentTypeId">
    <vt:lpwstr>0x01010046CF21643EE8D14686A648AA6DAD08920008906EEB8136F74FA146255C7A556015</vt:lpwstr>
  </property>
  <property fmtid="{D5CDD505-2E9C-101B-9397-08002B2CF9AE}" pid="6" name="TaxKeywordTaxHTField">
    <vt:lpwstr/>
  </property>
  <property fmtid="{D5CDD505-2E9C-101B-9397-08002B2CF9AE}" pid="7" name="Series Operations IDB">
    <vt:lpwstr>2;#Unclassified|a6dff32e-d477-44cd-a56b-85efe9e0a56c</vt:lpwstr>
  </property>
  <property fmtid="{D5CDD505-2E9C-101B-9397-08002B2CF9AE}" pid="8" name="Sub-Sector">
    <vt:lpwstr/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2;#Unclassified|a6dff32e-d477-44cd-a56b-85efe9e0a56c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4;#IDBDocs|cca77002-e150-4b2d-ab1f-1d7a7cdcae16</vt:lpwstr>
  </property>
</Properties>
</file>