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960" activeTab="6"/>
  </bookViews>
  <sheets>
    <sheet name="Bienes" sheetId="2" r:id="rId1"/>
    <sheet name="Servicios" sheetId="3" r:id="rId2"/>
    <sheet name="Consultoria Firma" sheetId="4" r:id="rId3"/>
    <sheet name="Matriz" sheetId="5" r:id="rId4"/>
    <sheet name="Bienes con fechas" sheetId="6" r:id="rId5"/>
    <sheet name="servicios con fechas" sheetId="7" r:id="rId6"/>
    <sheet name="consultorias firmas con fechas" sheetId="8" r:id="rId7"/>
  </sheets>
  <externalReferences>
    <externalReference r:id="rId8"/>
  </externalReferences>
  <definedNames>
    <definedName name="_xlnm._FilterDatabase" localSheetId="3" hidden="1">Matriz!$A$4:$CP$274</definedName>
    <definedName name="_xlnm.Print_Area" localSheetId="0">Bienes!$A$1:$J$18</definedName>
    <definedName name="_xlnm.Print_Area" localSheetId="4">'Bienes con fechas'!$A$1:$Q$18</definedName>
    <definedName name="_xlnm.Print_Area" localSheetId="2">'Consultoria Firma'!$A$1:$J$12</definedName>
    <definedName name="_xlnm.Print_Area" localSheetId="6">'consultorias firmas con fechas'!$A$1:$Y$12</definedName>
    <definedName name="_xlnm.Print_Area" localSheetId="1">Servicios!#REF!</definedName>
    <definedName name="_xlnm.Print_Area" localSheetId="5">'servicios con fechas'!$A$1:$Q$17</definedName>
    <definedName name="_xlnm.Print_Titles" localSheetId="3">Matriz!$3:$4</definedName>
  </definedNames>
  <calcPr calcId="152511"/>
</workbook>
</file>

<file path=xl/calcChain.xml><?xml version="1.0" encoding="utf-8"?>
<calcChain xmlns="http://schemas.openxmlformats.org/spreadsheetml/2006/main">
  <c r="F12" i="8" l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W12" i="8" s="1"/>
  <c r="X12" i="8" s="1"/>
  <c r="F9" i="8"/>
  <c r="G9" i="8" s="1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H6" i="8"/>
  <c r="I6" i="8" s="1"/>
  <c r="J6" i="8" s="1"/>
  <c r="K6" i="8" s="1"/>
  <c r="L6" i="8" s="1"/>
  <c r="P6" i="8" s="1"/>
  <c r="Q6" i="8" s="1"/>
  <c r="S6" i="8" s="1"/>
  <c r="T6" i="8" s="1"/>
  <c r="U6" i="8" s="1"/>
  <c r="F11" i="8"/>
  <c r="G11" i="8" s="1"/>
  <c r="H11" i="8" s="1"/>
  <c r="K11" i="8" s="1"/>
  <c r="L11" i="8" s="1"/>
  <c r="M11" i="8" s="1"/>
  <c r="P11" i="8" s="1"/>
  <c r="Q11" i="8" s="1"/>
  <c r="R11" i="8" s="1"/>
  <c r="S11" i="8" s="1"/>
  <c r="V11" i="8" s="1"/>
  <c r="W11" i="8" s="1"/>
  <c r="X11" i="8" s="1"/>
  <c r="Y11" i="8" s="1"/>
  <c r="F10" i="8"/>
  <c r="G10" i="8" s="1"/>
  <c r="H10" i="8" s="1"/>
  <c r="K10" i="8" s="1"/>
  <c r="L10" i="8" s="1"/>
  <c r="M10" i="8" s="1"/>
  <c r="P10" i="8" s="1"/>
  <c r="Q10" i="8" s="1"/>
  <c r="R10" i="8" s="1"/>
  <c r="S10" i="8" s="1"/>
  <c r="V10" i="8" s="1"/>
  <c r="W10" i="8" s="1"/>
  <c r="X10" i="8" s="1"/>
  <c r="Y10" i="8" s="1"/>
  <c r="F8" i="8"/>
  <c r="G8" i="8" s="1"/>
  <c r="H8" i="8" s="1"/>
  <c r="K8" i="8" s="1"/>
  <c r="L8" i="8" s="1"/>
  <c r="M8" i="8" s="1"/>
  <c r="P8" i="8" s="1"/>
  <c r="Q8" i="8" s="1"/>
  <c r="R8" i="8" s="1"/>
  <c r="S8" i="8" s="1"/>
  <c r="V8" i="8" s="1"/>
  <c r="W8" i="8" s="1"/>
  <c r="X8" i="8" s="1"/>
  <c r="Y8" i="8" s="1"/>
  <c r="F7" i="8"/>
  <c r="G7" i="8" s="1"/>
  <c r="H7" i="8" s="1"/>
  <c r="K7" i="8" s="1"/>
  <c r="L7" i="8" s="1"/>
  <c r="M7" i="8" s="1"/>
  <c r="P7" i="8" s="1"/>
  <c r="Q7" i="8" s="1"/>
  <c r="R7" i="8" s="1"/>
  <c r="S7" i="8" s="1"/>
  <c r="V7" i="8" s="1"/>
  <c r="W7" i="8" s="1"/>
  <c r="X7" i="8" s="1"/>
  <c r="Y7" i="8" s="1"/>
  <c r="F5" i="8"/>
  <c r="G5" i="8" s="1"/>
  <c r="H5" i="8" s="1"/>
  <c r="K5" i="8" s="1"/>
  <c r="L5" i="8" s="1"/>
  <c r="M5" i="8" s="1"/>
  <c r="P5" i="8" s="1"/>
  <c r="Q5" i="8" s="1"/>
  <c r="R5" i="8" s="1"/>
  <c r="S5" i="8" s="1"/>
  <c r="V5" i="8" s="1"/>
  <c r="W5" i="8" s="1"/>
  <c r="X5" i="8" s="1"/>
  <c r="Y5" i="8" s="1"/>
  <c r="F4" i="8"/>
  <c r="G4" i="8" s="1"/>
  <c r="H4" i="8" s="1"/>
  <c r="K4" i="8" s="1"/>
  <c r="L4" i="8" s="1"/>
  <c r="M4" i="8" s="1"/>
  <c r="P4" i="8" s="1"/>
  <c r="Q4" i="8" s="1"/>
  <c r="R4" i="8" s="1"/>
  <c r="S4" i="8" s="1"/>
  <c r="V4" i="8" s="1"/>
  <c r="W4" i="8" s="1"/>
  <c r="X4" i="8" s="1"/>
  <c r="Y4" i="8" s="1"/>
  <c r="F3" i="8"/>
  <c r="G3" i="8" s="1"/>
  <c r="H3" i="8" s="1"/>
  <c r="K3" i="8" s="1"/>
  <c r="L3" i="8" s="1"/>
  <c r="M3" i="8" s="1"/>
  <c r="P3" i="8" s="1"/>
  <c r="Q3" i="8" s="1"/>
  <c r="S3" i="8" s="1"/>
  <c r="V3" i="8" s="1"/>
  <c r="W3" i="8" s="1"/>
  <c r="X3" i="8" s="1"/>
  <c r="Y3" i="8" s="1"/>
  <c r="F2" i="8"/>
  <c r="G2" i="8" s="1"/>
  <c r="H2" i="8" s="1"/>
  <c r="K2" i="8" s="1"/>
  <c r="L2" i="8" s="1"/>
  <c r="M2" i="8" s="1"/>
  <c r="P2" i="8" s="1"/>
  <c r="Q2" i="8" s="1"/>
  <c r="S2" i="8" s="1"/>
  <c r="V2" i="8" s="1"/>
  <c r="W2" i="8" s="1"/>
  <c r="X2" i="8" s="1"/>
  <c r="Y2" i="8" s="1"/>
  <c r="H17" i="3"/>
  <c r="I17" i="3" s="1"/>
  <c r="H16" i="3"/>
  <c r="I16" i="3" s="1"/>
  <c r="H15" i="3"/>
  <c r="H14" i="3"/>
  <c r="H13" i="3"/>
  <c r="I13" i="3" s="1"/>
  <c r="H12" i="3"/>
  <c r="I12" i="3" s="1"/>
  <c r="H11" i="3"/>
  <c r="H10" i="3"/>
  <c r="I10" i="3" s="1"/>
  <c r="H9" i="3"/>
  <c r="D9" i="3"/>
  <c r="H8" i="3"/>
  <c r="D8" i="3"/>
  <c r="H7" i="3"/>
  <c r="I7" i="3" s="1"/>
  <c r="D7" i="3"/>
  <c r="H6" i="3"/>
  <c r="H5" i="3"/>
  <c r="I5" i="3" s="1"/>
  <c r="H4" i="3"/>
  <c r="I4" i="3" s="1"/>
  <c r="H3" i="3"/>
  <c r="I3" i="3" s="1"/>
  <c r="H2" i="3"/>
  <c r="I2" i="3" s="1"/>
  <c r="F17" i="7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F16" i="7"/>
  <c r="I16" i="7" s="1"/>
  <c r="J16" i="7" s="1"/>
  <c r="K16" i="7" s="1"/>
  <c r="N16" i="7" s="1"/>
  <c r="O16" i="7" s="1"/>
  <c r="P16" i="7" s="1"/>
  <c r="Q16" i="7" s="1"/>
  <c r="F15" i="7"/>
  <c r="I15" i="7" s="1"/>
  <c r="J15" i="7" s="1"/>
  <c r="K15" i="7" s="1"/>
  <c r="N15" i="7" s="1"/>
  <c r="O15" i="7" s="1"/>
  <c r="P15" i="7" s="1"/>
  <c r="Q15" i="7" s="1"/>
  <c r="F14" i="7"/>
  <c r="I14" i="7" s="1"/>
  <c r="J14" i="7" s="1"/>
  <c r="K14" i="7" s="1"/>
  <c r="N14" i="7" s="1"/>
  <c r="O14" i="7" s="1"/>
  <c r="P14" i="7" s="1"/>
  <c r="Q14" i="7" s="1"/>
  <c r="F13" i="7"/>
  <c r="I13" i="7" s="1"/>
  <c r="J13" i="7" s="1"/>
  <c r="K13" i="7" s="1"/>
  <c r="N13" i="7" s="1"/>
  <c r="O13" i="7" s="1"/>
  <c r="P13" i="7" s="1"/>
  <c r="Q13" i="7" s="1"/>
  <c r="F12" i="7"/>
  <c r="I12" i="7" s="1"/>
  <c r="J12" i="7" s="1"/>
  <c r="K12" i="7" s="1"/>
  <c r="N12" i="7" s="1"/>
  <c r="O12" i="7" s="1"/>
  <c r="P12" i="7" s="1"/>
  <c r="Q12" i="7" s="1"/>
  <c r="F11" i="7"/>
  <c r="I11" i="7" s="1"/>
  <c r="J11" i="7" s="1"/>
  <c r="K11" i="7" s="1"/>
  <c r="N11" i="7" s="1"/>
  <c r="O11" i="7" s="1"/>
  <c r="P11" i="7" s="1"/>
  <c r="Q11" i="7" s="1"/>
  <c r="F10" i="7"/>
  <c r="I10" i="7" s="1"/>
  <c r="J10" i="7" s="1"/>
  <c r="K10" i="7" s="1"/>
  <c r="N10" i="7" s="1"/>
  <c r="O10" i="7" s="1"/>
  <c r="P10" i="7" s="1"/>
  <c r="Q10" i="7" s="1"/>
  <c r="F9" i="7"/>
  <c r="I9" i="7" s="1"/>
  <c r="J9" i="7" s="1"/>
  <c r="K9" i="7" s="1"/>
  <c r="N9" i="7" s="1"/>
  <c r="O9" i="7" s="1"/>
  <c r="P9" i="7" s="1"/>
  <c r="Q9" i="7" s="1"/>
  <c r="F8" i="7"/>
  <c r="I8" i="7" s="1"/>
  <c r="J8" i="7" s="1"/>
  <c r="K8" i="7" s="1"/>
  <c r="N8" i="7" s="1"/>
  <c r="O8" i="7" s="1"/>
  <c r="P8" i="7" s="1"/>
  <c r="Q8" i="7" s="1"/>
  <c r="F7" i="7"/>
  <c r="I7" i="7" s="1"/>
  <c r="J7" i="7" s="1"/>
  <c r="K7" i="7" s="1"/>
  <c r="N7" i="7" s="1"/>
  <c r="O7" i="7" s="1"/>
  <c r="P7" i="7" s="1"/>
  <c r="Q7" i="7" s="1"/>
  <c r="F6" i="7"/>
  <c r="I6" i="7" s="1"/>
  <c r="J6" i="7" s="1"/>
  <c r="K6" i="7" s="1"/>
  <c r="N6" i="7" s="1"/>
  <c r="O6" i="7" s="1"/>
  <c r="P6" i="7" s="1"/>
  <c r="Q6" i="7" s="1"/>
  <c r="F5" i="7"/>
  <c r="I5" i="7" s="1"/>
  <c r="J5" i="7" s="1"/>
  <c r="K5" i="7" s="1"/>
  <c r="N5" i="7" s="1"/>
  <c r="O5" i="7" s="1"/>
  <c r="P5" i="7" s="1"/>
  <c r="Q5" i="7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F3" i="7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F2" i="7"/>
  <c r="I2" i="7" s="1"/>
  <c r="J2" i="7" s="1"/>
  <c r="K2" i="7" s="1"/>
  <c r="N2" i="7" s="1"/>
  <c r="O2" i="7" s="1"/>
  <c r="P2" i="7" s="1"/>
  <c r="Q2" i="7" s="1"/>
  <c r="F17" i="6"/>
  <c r="I17" i="6" s="1"/>
  <c r="J17" i="6" s="1"/>
  <c r="K17" i="6" s="1"/>
  <c r="N17" i="6" s="1"/>
  <c r="O17" i="6" s="1"/>
  <c r="P17" i="6" s="1"/>
  <c r="Q17" i="6" s="1"/>
  <c r="F15" i="6"/>
  <c r="I15" i="6" s="1"/>
  <c r="J15" i="6" s="1"/>
  <c r="K15" i="6" s="1"/>
  <c r="N15" i="6" s="1"/>
  <c r="O15" i="6" s="1"/>
  <c r="P15" i="6" s="1"/>
  <c r="Q15" i="6" s="1"/>
  <c r="F14" i="6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F12" i="6"/>
  <c r="I12" i="6" s="1"/>
  <c r="J12" i="6" s="1"/>
  <c r="K12" i="6" s="1"/>
  <c r="N12" i="6" s="1"/>
  <c r="O12" i="6" s="1"/>
  <c r="P12" i="6" s="1"/>
  <c r="Q12" i="6" s="1"/>
  <c r="F13" i="6"/>
  <c r="I13" i="6" s="1"/>
  <c r="J13" i="6" s="1"/>
  <c r="K13" i="6" s="1"/>
  <c r="N13" i="6" s="1"/>
  <c r="O13" i="6" s="1"/>
  <c r="P13" i="6" s="1"/>
  <c r="Q13" i="6" s="1"/>
  <c r="F18" i="6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F16" i="6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F9" i="6"/>
  <c r="G9" i="6" s="1"/>
  <c r="H9" i="6" s="1"/>
  <c r="I9" i="6" s="1"/>
  <c r="J9" i="6" s="1"/>
  <c r="K9" i="6" s="1"/>
  <c r="L9" i="6" s="1"/>
  <c r="M9" i="6" s="1"/>
  <c r="N9" i="6" s="1"/>
  <c r="O9" i="6" s="1"/>
  <c r="P9" i="6" s="1"/>
  <c r="Q9" i="6" s="1"/>
  <c r="F8" i="6"/>
  <c r="I8" i="6" s="1"/>
  <c r="J8" i="6" s="1"/>
  <c r="K8" i="6" s="1"/>
  <c r="N8" i="6" s="1"/>
  <c r="O8" i="6" s="1"/>
  <c r="P8" i="6" s="1"/>
  <c r="Q8" i="6" s="1"/>
  <c r="F6" i="6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F7" i="6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F4" i="6"/>
  <c r="I4" i="6" s="1"/>
  <c r="J4" i="6" s="1"/>
  <c r="K4" i="6" s="1"/>
  <c r="N4" i="6" s="1"/>
  <c r="O4" i="6" s="1"/>
  <c r="P4" i="6" s="1"/>
  <c r="Q4" i="6" s="1"/>
  <c r="F3" i="6"/>
  <c r="I3" i="6" s="1"/>
  <c r="J3" i="6" s="1"/>
  <c r="K3" i="6" s="1"/>
  <c r="N3" i="6" s="1"/>
  <c r="O3" i="6" s="1"/>
  <c r="P3" i="6" s="1"/>
  <c r="Q3" i="6" s="1"/>
  <c r="F2" i="6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H10" i="4"/>
  <c r="H3" i="4"/>
  <c r="H2" i="4"/>
  <c r="I15" i="3" l="1"/>
  <c r="I14" i="3"/>
  <c r="I11" i="3"/>
  <c r="I9" i="3"/>
  <c r="I8" i="3"/>
  <c r="I6" i="3"/>
  <c r="V6" i="8"/>
  <c r="W6" i="8" s="1"/>
  <c r="H8" i="2"/>
  <c r="H4" i="2"/>
  <c r="H5" i="4"/>
  <c r="I5" i="4" s="1"/>
  <c r="H4" i="4"/>
  <c r="I4" i="4" s="1"/>
  <c r="H17" i="2"/>
  <c r="I17" i="2" s="1"/>
  <c r="X6" i="8" l="1"/>
  <c r="Y6" i="8" s="1"/>
  <c r="V99" i="5"/>
  <c r="H11" i="4" l="1"/>
  <c r="I10" i="4"/>
  <c r="H10" i="2"/>
  <c r="I11" i="4" l="1"/>
  <c r="I10" i="2"/>
  <c r="H6" i="4"/>
  <c r="I6" i="4" l="1"/>
  <c r="H15" i="2"/>
  <c r="I15" i="2" s="1"/>
  <c r="H16" i="2"/>
  <c r="I16" i="2" s="1"/>
  <c r="H13" i="2"/>
  <c r="I13" i="2" s="1"/>
  <c r="H12" i="2"/>
  <c r="I12" i="2" s="1"/>
  <c r="I4" i="2"/>
  <c r="H3" i="2"/>
  <c r="H5" i="2"/>
  <c r="H18" i="2"/>
  <c r="H14" i="2"/>
  <c r="H11" i="2"/>
  <c r="Q273" i="5"/>
  <c r="N273" i="5"/>
  <c r="K273" i="5"/>
  <c r="T272" i="5"/>
  <c r="P272" i="5"/>
  <c r="P273" i="5" s="1"/>
  <c r="O272" i="5"/>
  <c r="R272" i="5" s="1"/>
  <c r="M272" i="5"/>
  <c r="M273" i="5" s="1"/>
  <c r="L272" i="5"/>
  <c r="J272" i="5"/>
  <c r="J273" i="5" s="1"/>
  <c r="I272" i="5"/>
  <c r="T271" i="5"/>
  <c r="S271" i="5"/>
  <c r="R271" i="5"/>
  <c r="I271" i="5"/>
  <c r="T270" i="5"/>
  <c r="S270" i="5"/>
  <c r="R270" i="5"/>
  <c r="T269" i="5"/>
  <c r="S269" i="5"/>
  <c r="R269" i="5"/>
  <c r="T268" i="5"/>
  <c r="S268" i="5"/>
  <c r="I268" i="5"/>
  <c r="T267" i="5"/>
  <c r="S267" i="5"/>
  <c r="R267" i="5"/>
  <c r="Q265" i="5"/>
  <c r="N265" i="5"/>
  <c r="K265" i="5"/>
  <c r="T264" i="5"/>
  <c r="S264" i="5"/>
  <c r="O264" i="5"/>
  <c r="L264" i="5"/>
  <c r="I264" i="5"/>
  <c r="T263" i="5"/>
  <c r="S263" i="5"/>
  <c r="O263" i="5"/>
  <c r="L263" i="5"/>
  <c r="I263" i="5"/>
  <c r="T262" i="5"/>
  <c r="S262" i="5"/>
  <c r="O262" i="5"/>
  <c r="L262" i="5"/>
  <c r="I262" i="5"/>
  <c r="T260" i="5"/>
  <c r="S260" i="5"/>
  <c r="R260" i="5"/>
  <c r="T258" i="5"/>
  <c r="S258" i="5"/>
  <c r="R258" i="5"/>
  <c r="T257" i="5"/>
  <c r="S257" i="5"/>
  <c r="R257" i="5"/>
  <c r="T255" i="5"/>
  <c r="S255" i="5"/>
  <c r="R255" i="5"/>
  <c r="T253" i="5"/>
  <c r="S253" i="5"/>
  <c r="R253" i="5"/>
  <c r="T251" i="5"/>
  <c r="S251" i="5"/>
  <c r="L251" i="5"/>
  <c r="I251" i="5"/>
  <c r="R251" i="5" s="1"/>
  <c r="T249" i="5"/>
  <c r="S249" i="5"/>
  <c r="R249" i="5"/>
  <c r="T248" i="5"/>
  <c r="S248" i="5"/>
  <c r="R248" i="5"/>
  <c r="T247" i="5"/>
  <c r="S247" i="5"/>
  <c r="R247" i="5"/>
  <c r="T246" i="5"/>
  <c r="S246" i="5"/>
  <c r="R246" i="5"/>
  <c r="T245" i="5"/>
  <c r="S245" i="5"/>
  <c r="R245" i="5"/>
  <c r="T243" i="5"/>
  <c r="P243" i="5"/>
  <c r="O243" i="5"/>
  <c r="M243" i="5"/>
  <c r="L243" i="5"/>
  <c r="J243" i="5"/>
  <c r="I243" i="5"/>
  <c r="I265" i="5" s="1"/>
  <c r="T242" i="5"/>
  <c r="R242" i="5"/>
  <c r="P242" i="5"/>
  <c r="M242" i="5"/>
  <c r="J242" i="5"/>
  <c r="T241" i="5"/>
  <c r="S241" i="5"/>
  <c r="R241" i="5"/>
  <c r="T240" i="5"/>
  <c r="R240" i="5"/>
  <c r="P240" i="5"/>
  <c r="M240" i="5"/>
  <c r="J240" i="5"/>
  <c r="T239" i="5"/>
  <c r="S239" i="5"/>
  <c r="R239" i="5"/>
  <c r="T238" i="5"/>
  <c r="S238" i="5"/>
  <c r="R238" i="5"/>
  <c r="T237" i="5"/>
  <c r="S237" i="5"/>
  <c r="R237" i="5"/>
  <c r="T236" i="5"/>
  <c r="S236" i="5"/>
  <c r="R236" i="5"/>
  <c r="T235" i="5"/>
  <c r="S235" i="5"/>
  <c r="R235" i="5"/>
  <c r="T234" i="5"/>
  <c r="S234" i="5"/>
  <c r="R234" i="5"/>
  <c r="T233" i="5"/>
  <c r="S233" i="5"/>
  <c r="R233" i="5"/>
  <c r="T232" i="5"/>
  <c r="S232" i="5"/>
  <c r="R232" i="5"/>
  <c r="T231" i="5"/>
  <c r="S231" i="5"/>
  <c r="R231" i="5"/>
  <c r="T227" i="5"/>
  <c r="S227" i="5"/>
  <c r="R227" i="5"/>
  <c r="T225" i="5"/>
  <c r="S225" i="5"/>
  <c r="R225" i="5"/>
  <c r="T223" i="5"/>
  <c r="S223" i="5"/>
  <c r="R223" i="5"/>
  <c r="T222" i="5"/>
  <c r="S222" i="5"/>
  <c r="R222" i="5"/>
  <c r="T221" i="5"/>
  <c r="S221" i="5"/>
  <c r="R221" i="5"/>
  <c r="T220" i="5"/>
  <c r="S220" i="5"/>
  <c r="R220" i="5"/>
  <c r="T218" i="5"/>
  <c r="S218" i="5"/>
  <c r="R218" i="5"/>
  <c r="T216" i="5"/>
  <c r="P216" i="5"/>
  <c r="O216" i="5"/>
  <c r="M216" i="5"/>
  <c r="L216" i="5"/>
  <c r="J216" i="5"/>
  <c r="I216" i="5"/>
  <c r="T215" i="5"/>
  <c r="R215" i="5"/>
  <c r="P215" i="5"/>
  <c r="M215" i="5"/>
  <c r="J215" i="5"/>
  <c r="R214" i="5"/>
  <c r="Q214" i="5"/>
  <c r="P214" i="5"/>
  <c r="N214" i="5"/>
  <c r="M214" i="5"/>
  <c r="K214" i="5"/>
  <c r="J214" i="5"/>
  <c r="R213" i="5"/>
  <c r="Q213" i="5"/>
  <c r="P213" i="5"/>
  <c r="N213" i="5"/>
  <c r="M213" i="5"/>
  <c r="K213" i="5"/>
  <c r="J213" i="5"/>
  <c r="R212" i="5"/>
  <c r="Q212" i="5"/>
  <c r="P212" i="5"/>
  <c r="N212" i="5"/>
  <c r="M212" i="5"/>
  <c r="K212" i="5"/>
  <c r="J212" i="5"/>
  <c r="R211" i="5"/>
  <c r="Q211" i="5"/>
  <c r="P211" i="5"/>
  <c r="N211" i="5"/>
  <c r="M211" i="5"/>
  <c r="K211" i="5"/>
  <c r="J211" i="5"/>
  <c r="R210" i="5"/>
  <c r="Q210" i="5"/>
  <c r="P210" i="5"/>
  <c r="N210" i="5"/>
  <c r="M210" i="5"/>
  <c r="K210" i="5"/>
  <c r="J210" i="5"/>
  <c r="R209" i="5"/>
  <c r="Q209" i="5"/>
  <c r="P209" i="5"/>
  <c r="N209" i="5"/>
  <c r="M209" i="5"/>
  <c r="K209" i="5"/>
  <c r="J209" i="5"/>
  <c r="R208" i="5"/>
  <c r="Q208" i="5"/>
  <c r="P208" i="5"/>
  <c r="N208" i="5"/>
  <c r="M208" i="5"/>
  <c r="K208" i="5"/>
  <c r="J208" i="5"/>
  <c r="R207" i="5"/>
  <c r="Q207" i="5"/>
  <c r="P207" i="5"/>
  <c r="N207" i="5"/>
  <c r="M207" i="5"/>
  <c r="K207" i="5"/>
  <c r="J207" i="5"/>
  <c r="R206" i="5"/>
  <c r="Q206" i="5"/>
  <c r="P206" i="5"/>
  <c r="N206" i="5"/>
  <c r="M206" i="5"/>
  <c r="K206" i="5"/>
  <c r="J206" i="5"/>
  <c r="R205" i="5"/>
  <c r="Q205" i="5"/>
  <c r="P205" i="5"/>
  <c r="N205" i="5"/>
  <c r="M205" i="5"/>
  <c r="K205" i="5"/>
  <c r="J205" i="5"/>
  <c r="R204" i="5"/>
  <c r="Q204" i="5"/>
  <c r="P204" i="5"/>
  <c r="N204" i="5"/>
  <c r="M204" i="5"/>
  <c r="K204" i="5"/>
  <c r="J204" i="5"/>
  <c r="R203" i="5"/>
  <c r="Q203" i="5"/>
  <c r="P203" i="5"/>
  <c r="N203" i="5"/>
  <c r="M203" i="5"/>
  <c r="K203" i="5"/>
  <c r="J203" i="5"/>
  <c r="R202" i="5"/>
  <c r="Q202" i="5"/>
  <c r="P202" i="5"/>
  <c r="N202" i="5"/>
  <c r="M202" i="5"/>
  <c r="K202" i="5"/>
  <c r="J202" i="5"/>
  <c r="R201" i="5"/>
  <c r="Q201" i="5"/>
  <c r="P201" i="5"/>
  <c r="N201" i="5"/>
  <c r="M201" i="5"/>
  <c r="K201" i="5"/>
  <c r="J201" i="5"/>
  <c r="R200" i="5"/>
  <c r="Q200" i="5"/>
  <c r="P200" i="5"/>
  <c r="N200" i="5"/>
  <c r="M200" i="5"/>
  <c r="K200" i="5"/>
  <c r="J200" i="5"/>
  <c r="R199" i="5"/>
  <c r="Q199" i="5"/>
  <c r="P199" i="5"/>
  <c r="N199" i="5"/>
  <c r="M199" i="5"/>
  <c r="K199" i="5"/>
  <c r="J199" i="5"/>
  <c r="R198" i="5"/>
  <c r="Q198" i="5"/>
  <c r="P198" i="5"/>
  <c r="N198" i="5"/>
  <c r="M198" i="5"/>
  <c r="K198" i="5"/>
  <c r="J198" i="5"/>
  <c r="R197" i="5"/>
  <c r="Q197" i="5"/>
  <c r="P197" i="5"/>
  <c r="N197" i="5"/>
  <c r="M197" i="5"/>
  <c r="K197" i="5"/>
  <c r="J197" i="5"/>
  <c r="R196" i="5"/>
  <c r="Q196" i="5"/>
  <c r="P196" i="5"/>
  <c r="N196" i="5"/>
  <c r="M196" i="5"/>
  <c r="K196" i="5"/>
  <c r="J196" i="5"/>
  <c r="R195" i="5"/>
  <c r="Q195" i="5"/>
  <c r="P195" i="5"/>
  <c r="N195" i="5"/>
  <c r="M195" i="5"/>
  <c r="K195" i="5"/>
  <c r="J195" i="5"/>
  <c r="R194" i="5"/>
  <c r="Q194" i="5"/>
  <c r="P194" i="5"/>
  <c r="N194" i="5"/>
  <c r="M194" i="5"/>
  <c r="K194" i="5"/>
  <c r="J194" i="5"/>
  <c r="R193" i="5"/>
  <c r="Q193" i="5"/>
  <c r="P193" i="5"/>
  <c r="N193" i="5"/>
  <c r="M193" i="5"/>
  <c r="K193" i="5"/>
  <c r="J193" i="5"/>
  <c r="R192" i="5"/>
  <c r="Q192" i="5"/>
  <c r="P192" i="5"/>
  <c r="N192" i="5"/>
  <c r="M192" i="5"/>
  <c r="K192" i="5"/>
  <c r="J192" i="5"/>
  <c r="R191" i="5"/>
  <c r="Q191" i="5"/>
  <c r="P191" i="5"/>
  <c r="N191" i="5"/>
  <c r="M191" i="5"/>
  <c r="K191" i="5"/>
  <c r="J191" i="5"/>
  <c r="R190" i="5"/>
  <c r="Q190" i="5"/>
  <c r="P190" i="5"/>
  <c r="N190" i="5"/>
  <c r="M190" i="5"/>
  <c r="K190" i="5"/>
  <c r="J190" i="5"/>
  <c r="R189" i="5"/>
  <c r="Q189" i="5"/>
  <c r="P189" i="5"/>
  <c r="N189" i="5"/>
  <c r="M189" i="5"/>
  <c r="K189" i="5"/>
  <c r="J189" i="5"/>
  <c r="R188" i="5"/>
  <c r="Q188" i="5"/>
  <c r="P188" i="5"/>
  <c r="N188" i="5"/>
  <c r="M188" i="5"/>
  <c r="K188" i="5"/>
  <c r="J188" i="5"/>
  <c r="R187" i="5"/>
  <c r="Q187" i="5"/>
  <c r="P187" i="5"/>
  <c r="N187" i="5"/>
  <c r="M187" i="5"/>
  <c r="K187" i="5"/>
  <c r="J187" i="5"/>
  <c r="R186" i="5"/>
  <c r="Q186" i="5"/>
  <c r="P186" i="5"/>
  <c r="N186" i="5"/>
  <c r="M186" i="5"/>
  <c r="K186" i="5"/>
  <c r="J186" i="5"/>
  <c r="R185" i="5"/>
  <c r="Q185" i="5"/>
  <c r="P185" i="5"/>
  <c r="N185" i="5"/>
  <c r="M185" i="5"/>
  <c r="K185" i="5"/>
  <c r="J185" i="5"/>
  <c r="R184" i="5"/>
  <c r="Q184" i="5"/>
  <c r="P184" i="5"/>
  <c r="N184" i="5"/>
  <c r="M184" i="5"/>
  <c r="K184" i="5"/>
  <c r="J184" i="5"/>
  <c r="R183" i="5"/>
  <c r="Q183" i="5"/>
  <c r="P183" i="5"/>
  <c r="N183" i="5"/>
  <c r="M183" i="5"/>
  <c r="K183" i="5"/>
  <c r="J183" i="5"/>
  <c r="R182" i="5"/>
  <c r="Q182" i="5"/>
  <c r="P182" i="5"/>
  <c r="N182" i="5"/>
  <c r="M182" i="5"/>
  <c r="K182" i="5"/>
  <c r="J182" i="5"/>
  <c r="T180" i="5"/>
  <c r="S180" i="5"/>
  <c r="R180" i="5"/>
  <c r="T179" i="5"/>
  <c r="S179" i="5"/>
  <c r="R179" i="5"/>
  <c r="T178" i="5"/>
  <c r="S178" i="5"/>
  <c r="R178" i="5"/>
  <c r="T177" i="5"/>
  <c r="S177" i="5"/>
  <c r="R177" i="5"/>
  <c r="T176" i="5"/>
  <c r="S176" i="5"/>
  <c r="R176" i="5"/>
  <c r="L176" i="5"/>
  <c r="T174" i="5"/>
  <c r="S174" i="5"/>
  <c r="R174" i="5"/>
  <c r="T172" i="5"/>
  <c r="P172" i="5"/>
  <c r="O172" i="5"/>
  <c r="M172" i="5"/>
  <c r="L172" i="5"/>
  <c r="J172" i="5"/>
  <c r="I172" i="5"/>
  <c r="I228" i="5" s="1"/>
  <c r="T171" i="5"/>
  <c r="S171" i="5"/>
  <c r="R171" i="5"/>
  <c r="H171" i="5"/>
  <c r="T170" i="5"/>
  <c r="S170" i="5"/>
  <c r="R170" i="5"/>
  <c r="T168" i="5"/>
  <c r="S168" i="5"/>
  <c r="R168" i="5"/>
  <c r="T167" i="5"/>
  <c r="S167" i="5"/>
  <c r="R167" i="5"/>
  <c r="T166" i="5"/>
  <c r="S166" i="5"/>
  <c r="R166" i="5"/>
  <c r="T165" i="5"/>
  <c r="S165" i="5"/>
  <c r="R165" i="5"/>
  <c r="T164" i="5"/>
  <c r="S164" i="5"/>
  <c r="R164" i="5"/>
  <c r="T163" i="5"/>
  <c r="S163" i="5"/>
  <c r="R163" i="5"/>
  <c r="T162" i="5"/>
  <c r="S162" i="5"/>
  <c r="R162" i="5"/>
  <c r="T161" i="5"/>
  <c r="S161" i="5"/>
  <c r="R161" i="5"/>
  <c r="T160" i="5"/>
  <c r="S160" i="5"/>
  <c r="R160" i="5"/>
  <c r="T159" i="5"/>
  <c r="S159" i="5"/>
  <c r="R159" i="5"/>
  <c r="T158" i="5"/>
  <c r="S158" i="5"/>
  <c r="R158" i="5"/>
  <c r="Q155" i="5"/>
  <c r="N155" i="5"/>
  <c r="K155" i="5"/>
  <c r="T154" i="5"/>
  <c r="S154" i="5"/>
  <c r="R154" i="5"/>
  <c r="T152" i="5"/>
  <c r="S152" i="5"/>
  <c r="I152" i="5"/>
  <c r="R152" i="5" s="1"/>
  <c r="T151" i="5"/>
  <c r="S151" i="5"/>
  <c r="I151" i="5"/>
  <c r="R151" i="5" s="1"/>
  <c r="T149" i="5"/>
  <c r="S149" i="5"/>
  <c r="I149" i="5"/>
  <c r="R149" i="5" s="1"/>
  <c r="T147" i="5"/>
  <c r="R147" i="5"/>
  <c r="P147" i="5"/>
  <c r="M147" i="5"/>
  <c r="J147" i="5"/>
  <c r="T146" i="5"/>
  <c r="R146" i="5"/>
  <c r="P146" i="5"/>
  <c r="M146" i="5"/>
  <c r="J146" i="5"/>
  <c r="T145" i="5"/>
  <c r="R145" i="5"/>
  <c r="P145" i="5"/>
  <c r="M145" i="5"/>
  <c r="J145" i="5"/>
  <c r="T144" i="5"/>
  <c r="R144" i="5"/>
  <c r="P144" i="5"/>
  <c r="M144" i="5"/>
  <c r="J144" i="5"/>
  <c r="T142" i="5"/>
  <c r="R142" i="5"/>
  <c r="P142" i="5"/>
  <c r="M142" i="5"/>
  <c r="J142" i="5"/>
  <c r="T141" i="5"/>
  <c r="R141" i="5"/>
  <c r="P141" i="5"/>
  <c r="M141" i="5"/>
  <c r="J141" i="5"/>
  <c r="T140" i="5"/>
  <c r="R140" i="5"/>
  <c r="P140" i="5"/>
  <c r="M140" i="5"/>
  <c r="J140" i="5"/>
  <c r="T137" i="5"/>
  <c r="S137" i="5"/>
  <c r="R137" i="5"/>
  <c r="O136" i="5"/>
  <c r="T135" i="5"/>
  <c r="R135" i="5"/>
  <c r="P135" i="5"/>
  <c r="M135" i="5"/>
  <c r="J135" i="5"/>
  <c r="T134" i="5"/>
  <c r="R134" i="5"/>
  <c r="P134" i="5"/>
  <c r="M134" i="5"/>
  <c r="J134" i="5"/>
  <c r="T133" i="5"/>
  <c r="S133" i="5"/>
  <c r="R133" i="5"/>
  <c r="T132" i="5"/>
  <c r="S132" i="5"/>
  <c r="R132" i="5"/>
  <c r="T131" i="5"/>
  <c r="S131" i="5"/>
  <c r="R131" i="5"/>
  <c r="T130" i="5"/>
  <c r="S130" i="5"/>
  <c r="R130" i="5"/>
  <c r="T129" i="5"/>
  <c r="S129" i="5"/>
  <c r="R129" i="5"/>
  <c r="T126" i="5"/>
  <c r="S126" i="5"/>
  <c r="O126" i="5"/>
  <c r="L126" i="5"/>
  <c r="I126" i="5"/>
  <c r="T124" i="5"/>
  <c r="S124" i="5"/>
  <c r="I124" i="5"/>
  <c r="R124" i="5" s="1"/>
  <c r="T123" i="5"/>
  <c r="S123" i="5"/>
  <c r="I123" i="5"/>
  <c r="R123" i="5" s="1"/>
  <c r="T120" i="5"/>
  <c r="S120" i="5"/>
  <c r="I120" i="5"/>
  <c r="R120" i="5" s="1"/>
  <c r="T119" i="5"/>
  <c r="S119" i="5"/>
  <c r="R119" i="5"/>
  <c r="T117" i="5"/>
  <c r="S117" i="5"/>
  <c r="O117" i="5"/>
  <c r="L117" i="5"/>
  <c r="R117" i="5" s="1"/>
  <c r="I117" i="5"/>
  <c r="T115" i="5"/>
  <c r="R115" i="5"/>
  <c r="P115" i="5"/>
  <c r="M115" i="5"/>
  <c r="J115" i="5"/>
  <c r="T114" i="5"/>
  <c r="R114" i="5"/>
  <c r="P114" i="5"/>
  <c r="M114" i="5"/>
  <c r="J114" i="5"/>
  <c r="T113" i="5"/>
  <c r="R113" i="5"/>
  <c r="P113" i="5"/>
  <c r="M113" i="5"/>
  <c r="J113" i="5"/>
  <c r="H113" i="5"/>
  <c r="T112" i="5"/>
  <c r="R112" i="5"/>
  <c r="P112" i="5"/>
  <c r="M112" i="5"/>
  <c r="J112" i="5"/>
  <c r="T108" i="5"/>
  <c r="S108" i="5"/>
  <c r="R108" i="5"/>
  <c r="T107" i="5"/>
  <c r="S107" i="5"/>
  <c r="I107" i="5"/>
  <c r="R107" i="5" s="1"/>
  <c r="T106" i="5"/>
  <c r="S106" i="5"/>
  <c r="I106" i="5"/>
  <c r="R106" i="5" s="1"/>
  <c r="T105" i="5"/>
  <c r="S105" i="5"/>
  <c r="I105" i="5"/>
  <c r="T103" i="5"/>
  <c r="S103" i="5"/>
  <c r="R103" i="5"/>
  <c r="T101" i="5"/>
  <c r="S101" i="5"/>
  <c r="R101" i="5"/>
  <c r="T100" i="5"/>
  <c r="R100" i="5"/>
  <c r="P100" i="5"/>
  <c r="M100" i="5"/>
  <c r="T99" i="5"/>
  <c r="R99" i="5"/>
  <c r="P99" i="5"/>
  <c r="M99" i="5"/>
  <c r="J99" i="5"/>
  <c r="T98" i="5"/>
  <c r="S98" i="5"/>
  <c r="R98" i="5"/>
  <c r="T97" i="5"/>
  <c r="S97" i="5"/>
  <c r="R97" i="5"/>
  <c r="T95" i="5"/>
  <c r="R95" i="5"/>
  <c r="P95" i="5"/>
  <c r="S95" i="5" s="1"/>
  <c r="M95" i="5"/>
  <c r="J95" i="5"/>
  <c r="T94" i="5"/>
  <c r="R94" i="5"/>
  <c r="P94" i="5"/>
  <c r="M94" i="5"/>
  <c r="J94" i="5"/>
  <c r="T93" i="5"/>
  <c r="R93" i="5"/>
  <c r="P93" i="5"/>
  <c r="M93" i="5"/>
  <c r="J93" i="5"/>
  <c r="T92" i="5"/>
  <c r="R92" i="5"/>
  <c r="P92" i="5"/>
  <c r="M92" i="5"/>
  <c r="J92" i="5"/>
  <c r="T89" i="5"/>
  <c r="S89" i="5"/>
  <c r="R89" i="5"/>
  <c r="L89" i="5"/>
  <c r="T88" i="5"/>
  <c r="R88" i="5"/>
  <c r="P88" i="5"/>
  <c r="M88" i="5"/>
  <c r="J88" i="5"/>
  <c r="T87" i="5"/>
  <c r="R87" i="5"/>
  <c r="P87" i="5"/>
  <c r="M87" i="5"/>
  <c r="J87" i="5"/>
  <c r="T85" i="5"/>
  <c r="S85" i="5"/>
  <c r="L85" i="5"/>
  <c r="R85" i="5" s="1"/>
  <c r="T84" i="5"/>
  <c r="S84" i="5"/>
  <c r="L84" i="5"/>
  <c r="O84" i="5" s="1"/>
  <c r="R84" i="5" s="1"/>
  <c r="T82" i="5"/>
  <c r="S82" i="5"/>
  <c r="R82" i="5"/>
  <c r="T81" i="5"/>
  <c r="R81" i="5"/>
  <c r="P81" i="5"/>
  <c r="M81" i="5"/>
  <c r="T78" i="5"/>
  <c r="S78" i="5"/>
  <c r="R78" i="5"/>
  <c r="T76" i="5"/>
  <c r="S76" i="5"/>
  <c r="O76" i="5"/>
  <c r="L76" i="5"/>
  <c r="T75" i="5"/>
  <c r="S75" i="5"/>
  <c r="L75" i="5"/>
  <c r="O75" i="5" s="1"/>
  <c r="R75" i="5" s="1"/>
  <c r="T73" i="5"/>
  <c r="S73" i="5"/>
  <c r="R73" i="5"/>
  <c r="T72" i="5"/>
  <c r="S72" i="5"/>
  <c r="R72" i="5"/>
  <c r="T70" i="5"/>
  <c r="R70" i="5"/>
  <c r="P70" i="5"/>
  <c r="M70" i="5"/>
  <c r="J70" i="5"/>
  <c r="T69" i="5"/>
  <c r="R69" i="5"/>
  <c r="P69" i="5"/>
  <c r="M69" i="5"/>
  <c r="J69" i="5"/>
  <c r="T68" i="5"/>
  <c r="R68" i="5"/>
  <c r="P68" i="5"/>
  <c r="M68" i="5"/>
  <c r="J68" i="5"/>
  <c r="T67" i="5"/>
  <c r="R67" i="5"/>
  <c r="P67" i="5"/>
  <c r="M67" i="5"/>
  <c r="J67" i="5"/>
  <c r="T66" i="5"/>
  <c r="R66" i="5"/>
  <c r="P66" i="5"/>
  <c r="M66" i="5"/>
  <c r="J66" i="5"/>
  <c r="T65" i="5"/>
  <c r="R65" i="5"/>
  <c r="P65" i="5"/>
  <c r="M65" i="5"/>
  <c r="J65" i="5"/>
  <c r="T64" i="5"/>
  <c r="R64" i="5"/>
  <c r="P64" i="5"/>
  <c r="M64" i="5"/>
  <c r="J64" i="5"/>
  <c r="T63" i="5"/>
  <c r="R63" i="5"/>
  <c r="P63" i="5"/>
  <c r="M63" i="5"/>
  <c r="J63" i="5"/>
  <c r="T62" i="5"/>
  <c r="R62" i="5"/>
  <c r="P62" i="5"/>
  <c r="M62" i="5"/>
  <c r="J62" i="5"/>
  <c r="T61" i="5"/>
  <c r="R61" i="5"/>
  <c r="P61" i="5"/>
  <c r="M61" i="5"/>
  <c r="J61" i="5"/>
  <c r="T60" i="5"/>
  <c r="R60" i="5"/>
  <c r="P60" i="5"/>
  <c r="M60" i="5"/>
  <c r="J60" i="5"/>
  <c r="T59" i="5"/>
  <c r="R59" i="5"/>
  <c r="P59" i="5"/>
  <c r="M59" i="5"/>
  <c r="J59" i="5"/>
  <c r="T58" i="5"/>
  <c r="R58" i="5"/>
  <c r="P58" i="5"/>
  <c r="M58" i="5"/>
  <c r="J58" i="5"/>
  <c r="T57" i="5"/>
  <c r="R57" i="5"/>
  <c r="P57" i="5"/>
  <c r="M57" i="5"/>
  <c r="J57" i="5"/>
  <c r="T56" i="5"/>
  <c r="R56" i="5"/>
  <c r="P56" i="5"/>
  <c r="M56" i="5"/>
  <c r="J56" i="5"/>
  <c r="T55" i="5"/>
  <c r="R55" i="5"/>
  <c r="P55" i="5"/>
  <c r="M55" i="5"/>
  <c r="J55" i="5"/>
  <c r="T54" i="5"/>
  <c r="R54" i="5"/>
  <c r="P54" i="5"/>
  <c r="M54" i="5"/>
  <c r="J54" i="5"/>
  <c r="T53" i="5"/>
  <c r="R53" i="5"/>
  <c r="P53" i="5"/>
  <c r="M53" i="5"/>
  <c r="J53" i="5"/>
  <c r="T52" i="5"/>
  <c r="R52" i="5"/>
  <c r="P52" i="5"/>
  <c r="M52" i="5"/>
  <c r="J52" i="5"/>
  <c r="T51" i="5"/>
  <c r="R51" i="5"/>
  <c r="P51" i="5"/>
  <c r="M51" i="5"/>
  <c r="J51" i="5"/>
  <c r="T50" i="5"/>
  <c r="R50" i="5"/>
  <c r="P50" i="5"/>
  <c r="M50" i="5"/>
  <c r="J50" i="5"/>
  <c r="T49" i="5"/>
  <c r="R49" i="5"/>
  <c r="P49" i="5"/>
  <c r="M49" i="5"/>
  <c r="J49" i="5"/>
  <c r="T48" i="5"/>
  <c r="R48" i="5"/>
  <c r="P48" i="5"/>
  <c r="M48" i="5"/>
  <c r="J48" i="5"/>
  <c r="T47" i="5"/>
  <c r="R47" i="5"/>
  <c r="P47" i="5"/>
  <c r="M47" i="5"/>
  <c r="J47" i="5"/>
  <c r="T46" i="5"/>
  <c r="R46" i="5"/>
  <c r="P46" i="5"/>
  <c r="M46" i="5"/>
  <c r="J46" i="5"/>
  <c r="T45" i="5"/>
  <c r="R45" i="5"/>
  <c r="P45" i="5"/>
  <c r="M45" i="5"/>
  <c r="J45" i="5"/>
  <c r="T41" i="5"/>
  <c r="S41" i="5"/>
  <c r="L41" i="5"/>
  <c r="O41" i="5" s="1"/>
  <c r="R41" i="5" s="1"/>
  <c r="T40" i="5"/>
  <c r="S40" i="5"/>
  <c r="L40" i="5"/>
  <c r="O40" i="5" s="1"/>
  <c r="T38" i="5"/>
  <c r="R38" i="5"/>
  <c r="P38" i="5"/>
  <c r="M38" i="5"/>
  <c r="J38" i="5"/>
  <c r="T36" i="5"/>
  <c r="R36" i="5"/>
  <c r="P36" i="5"/>
  <c r="S36" i="5" s="1"/>
  <c r="M36" i="5"/>
  <c r="J36" i="5"/>
  <c r="T35" i="5"/>
  <c r="R35" i="5"/>
  <c r="P35" i="5"/>
  <c r="M35" i="5"/>
  <c r="J35" i="5"/>
  <c r="T32" i="5"/>
  <c r="S32" i="5"/>
  <c r="R32" i="5"/>
  <c r="T31" i="5"/>
  <c r="S31" i="5"/>
  <c r="R31" i="5"/>
  <c r="T30" i="5"/>
  <c r="S30" i="5"/>
  <c r="R30" i="5"/>
  <c r="T29" i="5"/>
  <c r="S29" i="5"/>
  <c r="R29" i="5"/>
  <c r="T28" i="5"/>
  <c r="S28" i="5"/>
  <c r="R28" i="5"/>
  <c r="T26" i="5"/>
  <c r="S26" i="5"/>
  <c r="R26" i="5"/>
  <c r="T25" i="5"/>
  <c r="S25" i="5"/>
  <c r="R25" i="5"/>
  <c r="T24" i="5"/>
  <c r="S24" i="5"/>
  <c r="R24" i="5"/>
  <c r="T22" i="5"/>
  <c r="R22" i="5"/>
  <c r="P22" i="5"/>
  <c r="M22" i="5"/>
  <c r="J22" i="5"/>
  <c r="T21" i="5"/>
  <c r="R21" i="5"/>
  <c r="P21" i="5"/>
  <c r="M21" i="5"/>
  <c r="J21" i="5"/>
  <c r="T20" i="5"/>
  <c r="R20" i="5"/>
  <c r="P20" i="5"/>
  <c r="M20" i="5"/>
  <c r="J20" i="5"/>
  <c r="T19" i="5"/>
  <c r="R19" i="5"/>
  <c r="P19" i="5"/>
  <c r="M19" i="5"/>
  <c r="J19" i="5"/>
  <c r="T18" i="5"/>
  <c r="R18" i="5"/>
  <c r="P18" i="5"/>
  <c r="M18" i="5"/>
  <c r="J18" i="5"/>
  <c r="T17" i="5"/>
  <c r="R17" i="5"/>
  <c r="P17" i="5"/>
  <c r="M17" i="5"/>
  <c r="J17" i="5"/>
  <c r="T16" i="5"/>
  <c r="R16" i="5"/>
  <c r="P16" i="5"/>
  <c r="M16" i="5"/>
  <c r="J16" i="5"/>
  <c r="T15" i="5"/>
  <c r="R15" i="5"/>
  <c r="P15" i="5"/>
  <c r="M15" i="5"/>
  <c r="J15" i="5"/>
  <c r="T14" i="5"/>
  <c r="R14" i="5"/>
  <c r="P14" i="5"/>
  <c r="M14" i="5"/>
  <c r="J14" i="5"/>
  <c r="T13" i="5"/>
  <c r="R13" i="5"/>
  <c r="P13" i="5"/>
  <c r="M13" i="5"/>
  <c r="J13" i="5"/>
  <c r="T12" i="5"/>
  <c r="R12" i="5"/>
  <c r="P12" i="5"/>
  <c r="M12" i="5"/>
  <c r="J12" i="5"/>
  <c r="T11" i="5"/>
  <c r="R11" i="5"/>
  <c r="P11" i="5"/>
  <c r="M11" i="5"/>
  <c r="J11" i="5"/>
  <c r="T10" i="5"/>
  <c r="R10" i="5"/>
  <c r="P10" i="5"/>
  <c r="M10" i="5"/>
  <c r="J10" i="5"/>
  <c r="T9" i="5"/>
  <c r="R9" i="5"/>
  <c r="P9" i="5"/>
  <c r="M9" i="5"/>
  <c r="J9" i="5"/>
  <c r="T8" i="5"/>
  <c r="R8" i="5"/>
  <c r="P8" i="5"/>
  <c r="M8" i="5"/>
  <c r="J8" i="5"/>
  <c r="S100" i="5" l="1"/>
  <c r="R126" i="5"/>
  <c r="L228" i="5"/>
  <c r="R216" i="5"/>
  <c r="S216" i="5"/>
  <c r="U216" i="5" s="1"/>
  <c r="I155" i="5"/>
  <c r="I18" i="2"/>
  <c r="I14" i="2"/>
  <c r="I11" i="2"/>
  <c r="T183" i="5"/>
  <c r="T189" i="5"/>
  <c r="T195" i="5"/>
  <c r="T201" i="5"/>
  <c r="T207" i="5"/>
  <c r="T213" i="5"/>
  <c r="T184" i="5"/>
  <c r="T190" i="5"/>
  <c r="T210" i="5"/>
  <c r="R105" i="5"/>
  <c r="M228" i="5"/>
  <c r="K228" i="5"/>
  <c r="T196" i="5"/>
  <c r="T202" i="5"/>
  <c r="T208" i="5"/>
  <c r="T214" i="5"/>
  <c r="P265" i="5"/>
  <c r="J155" i="5"/>
  <c r="S22" i="5"/>
  <c r="S115" i="5"/>
  <c r="U115" i="5" s="1"/>
  <c r="O228" i="5"/>
  <c r="R228" i="5" s="1"/>
  <c r="T185" i="5"/>
  <c r="T191" i="5"/>
  <c r="T197" i="5"/>
  <c r="T203" i="5"/>
  <c r="T209" i="5"/>
  <c r="L265" i="5"/>
  <c r="R265" i="5" s="1"/>
  <c r="R76" i="5"/>
  <c r="P228" i="5"/>
  <c r="N228" i="5"/>
  <c r="T186" i="5"/>
  <c r="T192" i="5"/>
  <c r="T198" i="5"/>
  <c r="T204" i="5"/>
  <c r="T187" i="5"/>
  <c r="T193" i="5"/>
  <c r="T199" i="5"/>
  <c r="T205" i="5"/>
  <c r="T211" i="5"/>
  <c r="O265" i="5"/>
  <c r="P155" i="5"/>
  <c r="S99" i="5"/>
  <c r="J228" i="5"/>
  <c r="S228" i="5" s="1"/>
  <c r="Q228" i="5"/>
  <c r="T228" i="5" s="1"/>
  <c r="T188" i="5"/>
  <c r="T194" i="5"/>
  <c r="T200" i="5"/>
  <c r="T206" i="5"/>
  <c r="T212" i="5"/>
  <c r="J265" i="5"/>
  <c r="S243" i="5"/>
  <c r="R263" i="5"/>
  <c r="U231" i="5"/>
  <c r="U233" i="5"/>
  <c r="U235" i="5"/>
  <c r="U237" i="5"/>
  <c r="U239" i="5"/>
  <c r="U246" i="5"/>
  <c r="U248" i="5"/>
  <c r="U251" i="5"/>
  <c r="U257" i="5"/>
  <c r="U260" i="5"/>
  <c r="U108" i="5"/>
  <c r="U123" i="5"/>
  <c r="U124" i="5"/>
  <c r="U130" i="5"/>
  <c r="U132" i="5"/>
  <c r="U137" i="5"/>
  <c r="U152" i="5"/>
  <c r="U154" i="5"/>
  <c r="U159" i="5"/>
  <c r="U161" i="5"/>
  <c r="U163" i="5"/>
  <c r="U165" i="5"/>
  <c r="U167" i="5"/>
  <c r="U170" i="5"/>
  <c r="U176" i="5"/>
  <c r="U178" i="5"/>
  <c r="U180" i="5"/>
  <c r="U22" i="5"/>
  <c r="U24" i="5"/>
  <c r="U26" i="5"/>
  <c r="U29" i="5"/>
  <c r="U31" i="5"/>
  <c r="U36" i="5"/>
  <c r="O155" i="5"/>
  <c r="U89" i="5"/>
  <c r="U98" i="5"/>
  <c r="U103" i="5"/>
  <c r="U84" i="5"/>
  <c r="U267" i="5"/>
  <c r="U220" i="5"/>
  <c r="U222" i="5"/>
  <c r="U271" i="5"/>
  <c r="S92" i="5"/>
  <c r="U92" i="5" s="1"/>
  <c r="S94" i="5"/>
  <c r="S114" i="5"/>
  <c r="S134" i="5"/>
  <c r="U134" i="5" s="1"/>
  <c r="T182" i="5"/>
  <c r="S10" i="5"/>
  <c r="U10" i="5" s="1"/>
  <c r="S12" i="5"/>
  <c r="U12" i="5" s="1"/>
  <c r="S14" i="5"/>
  <c r="U14" i="5" s="1"/>
  <c r="S16" i="5"/>
  <c r="U16" i="5" s="1"/>
  <c r="S18" i="5"/>
  <c r="U18" i="5" s="1"/>
  <c r="S20" i="5"/>
  <c r="U20" i="5" s="1"/>
  <c r="S45" i="5"/>
  <c r="U45" i="5" s="1"/>
  <c r="S47" i="5"/>
  <c r="U47" i="5" s="1"/>
  <c r="S49" i="5"/>
  <c r="U49" i="5" s="1"/>
  <c r="S51" i="5"/>
  <c r="U51" i="5" s="1"/>
  <c r="S53" i="5"/>
  <c r="U53" i="5" s="1"/>
  <c r="S55" i="5"/>
  <c r="U55" i="5" s="1"/>
  <c r="S57" i="5"/>
  <c r="U57" i="5" s="1"/>
  <c r="S59" i="5"/>
  <c r="U59" i="5" s="1"/>
  <c r="S61" i="5"/>
  <c r="U61" i="5" s="1"/>
  <c r="S63" i="5"/>
  <c r="U63" i="5" s="1"/>
  <c r="S65" i="5"/>
  <c r="U65" i="5" s="1"/>
  <c r="S67" i="5"/>
  <c r="S69" i="5"/>
  <c r="S88" i="5"/>
  <c r="U88" i="5" s="1"/>
  <c r="S93" i="5"/>
  <c r="S112" i="5"/>
  <c r="U112" i="5" s="1"/>
  <c r="S113" i="5"/>
  <c r="U113" i="5" s="1"/>
  <c r="S141" i="5"/>
  <c r="U141" i="5" s="1"/>
  <c r="S144" i="5"/>
  <c r="U144" i="5" s="1"/>
  <c r="S146" i="5"/>
  <c r="U146" i="5" s="1"/>
  <c r="S215" i="5"/>
  <c r="U215" i="5" s="1"/>
  <c r="U67" i="5"/>
  <c r="U69" i="5"/>
  <c r="U72" i="5"/>
  <c r="U75" i="5"/>
  <c r="U82" i="5"/>
  <c r="U255" i="5"/>
  <c r="U106" i="5"/>
  <c r="U107" i="5"/>
  <c r="U253" i="5"/>
  <c r="U85" i="5"/>
  <c r="U94" i="5"/>
  <c r="U97" i="5"/>
  <c r="U99" i="5"/>
  <c r="W99" i="5" s="1"/>
  <c r="U100" i="5"/>
  <c r="U101" i="5"/>
  <c r="U105" i="5"/>
  <c r="U225" i="5"/>
  <c r="U232" i="5"/>
  <c r="U234" i="5"/>
  <c r="U236" i="5"/>
  <c r="U238" i="5"/>
  <c r="U241" i="5"/>
  <c r="U245" i="5"/>
  <c r="U247" i="5"/>
  <c r="U249" i="5"/>
  <c r="U258" i="5"/>
  <c r="U263" i="5"/>
  <c r="U270" i="5"/>
  <c r="T155" i="5"/>
  <c r="U25" i="5"/>
  <c r="U28" i="5"/>
  <c r="U30" i="5"/>
  <c r="U32" i="5"/>
  <c r="U41" i="5"/>
  <c r="U73" i="5"/>
  <c r="U76" i="5"/>
  <c r="U78" i="5"/>
  <c r="U117" i="5"/>
  <c r="U119" i="5"/>
  <c r="U120" i="5"/>
  <c r="U126" i="5"/>
  <c r="U129" i="5"/>
  <c r="U131" i="5"/>
  <c r="U133" i="5"/>
  <c r="U149" i="5"/>
  <c r="U151" i="5"/>
  <c r="U158" i="5"/>
  <c r="U160" i="5"/>
  <c r="U162" i="5"/>
  <c r="U164" i="5"/>
  <c r="U166" i="5"/>
  <c r="U168" i="5"/>
  <c r="U171" i="5"/>
  <c r="U174" i="5"/>
  <c r="U177" i="5"/>
  <c r="U179" i="5"/>
  <c r="U218" i="5"/>
  <c r="U221" i="5"/>
  <c r="U223" i="5"/>
  <c r="U227" i="5"/>
  <c r="U269" i="5"/>
  <c r="L268" i="5"/>
  <c r="I273" i="5"/>
  <c r="P274" i="5"/>
  <c r="S273" i="5"/>
  <c r="M155" i="5"/>
  <c r="S9" i="5"/>
  <c r="U9" i="5" s="1"/>
  <c r="S11" i="5"/>
  <c r="U11" i="5" s="1"/>
  <c r="S13" i="5"/>
  <c r="U13" i="5" s="1"/>
  <c r="S15" i="5"/>
  <c r="U15" i="5" s="1"/>
  <c r="S17" i="5"/>
  <c r="S19" i="5"/>
  <c r="U19" i="5" s="1"/>
  <c r="S21" i="5"/>
  <c r="U21" i="5" s="1"/>
  <c r="S35" i="5"/>
  <c r="U35" i="5" s="1"/>
  <c r="S38" i="5"/>
  <c r="R40" i="5"/>
  <c r="U40" i="5" s="1"/>
  <c r="S46" i="5"/>
  <c r="U46" i="5" s="1"/>
  <c r="S48" i="5"/>
  <c r="U48" i="5" s="1"/>
  <c r="S50" i="5"/>
  <c r="U50" i="5" s="1"/>
  <c r="S52" i="5"/>
  <c r="U52" i="5" s="1"/>
  <c r="S54" i="5"/>
  <c r="U54" i="5" s="1"/>
  <c r="S56" i="5"/>
  <c r="U56" i="5" s="1"/>
  <c r="S58" i="5"/>
  <c r="S60" i="5"/>
  <c r="U60" i="5" s="1"/>
  <c r="S62" i="5"/>
  <c r="U62" i="5" s="1"/>
  <c r="S64" i="5"/>
  <c r="U64" i="5" s="1"/>
  <c r="S66" i="5"/>
  <c r="U66" i="5" s="1"/>
  <c r="S68" i="5"/>
  <c r="U68" i="5" s="1"/>
  <c r="S70" i="5"/>
  <c r="U70" i="5" s="1"/>
  <c r="S81" i="5"/>
  <c r="U81" i="5" s="1"/>
  <c r="S87" i="5"/>
  <c r="U87" i="5" s="1"/>
  <c r="U93" i="5"/>
  <c r="U95" i="5"/>
  <c r="U114" i="5"/>
  <c r="S135" i="5"/>
  <c r="U135" i="5" s="1"/>
  <c r="S140" i="5"/>
  <c r="U140" i="5" s="1"/>
  <c r="S142" i="5"/>
  <c r="U142" i="5" s="1"/>
  <c r="S145" i="5"/>
  <c r="U145" i="5" s="1"/>
  <c r="S147" i="5"/>
  <c r="U147" i="5" s="1"/>
  <c r="S172" i="5"/>
  <c r="S240" i="5"/>
  <c r="U240" i="5" s="1"/>
  <c r="R243" i="5"/>
  <c r="N274" i="5"/>
  <c r="T265" i="5"/>
  <c r="J274" i="5"/>
  <c r="Q274" i="5"/>
  <c r="S8" i="5"/>
  <c r="U17" i="5"/>
  <c r="U38" i="5"/>
  <c r="U58" i="5"/>
  <c r="L155" i="5"/>
  <c r="S182" i="5"/>
  <c r="S183" i="5"/>
  <c r="U183" i="5" s="1"/>
  <c r="S184" i="5"/>
  <c r="U184" i="5" s="1"/>
  <c r="S185" i="5"/>
  <c r="U185" i="5" s="1"/>
  <c r="S186" i="5"/>
  <c r="U186" i="5" s="1"/>
  <c r="S187" i="5"/>
  <c r="U187" i="5" s="1"/>
  <c r="S188" i="5"/>
  <c r="S189" i="5"/>
  <c r="U189" i="5" s="1"/>
  <c r="S190" i="5"/>
  <c r="U190" i="5" s="1"/>
  <c r="S191" i="5"/>
  <c r="S192" i="5"/>
  <c r="S193" i="5"/>
  <c r="U193" i="5" s="1"/>
  <c r="S194" i="5"/>
  <c r="U194" i="5" s="1"/>
  <c r="S195" i="5"/>
  <c r="S196" i="5"/>
  <c r="U196" i="5" s="1"/>
  <c r="S197" i="5"/>
  <c r="S198" i="5"/>
  <c r="S199" i="5"/>
  <c r="U199" i="5" s="1"/>
  <c r="S200" i="5"/>
  <c r="U200" i="5" s="1"/>
  <c r="S201" i="5"/>
  <c r="U201" i="5" s="1"/>
  <c r="S202" i="5"/>
  <c r="U202" i="5" s="1"/>
  <c r="S203" i="5"/>
  <c r="S204" i="5"/>
  <c r="U204" i="5" s="1"/>
  <c r="S205" i="5"/>
  <c r="S206" i="5"/>
  <c r="U206" i="5" s="1"/>
  <c r="S207" i="5"/>
  <c r="U207" i="5" s="1"/>
  <c r="S208" i="5"/>
  <c r="S209" i="5"/>
  <c r="S210" i="5"/>
  <c r="S211" i="5"/>
  <c r="S212" i="5"/>
  <c r="U212" i="5" s="1"/>
  <c r="S213" i="5"/>
  <c r="U213" i="5" s="1"/>
  <c r="S214" i="5"/>
  <c r="U214" i="5" s="1"/>
  <c r="M265" i="5"/>
  <c r="S242" i="5"/>
  <c r="U242" i="5" s="1"/>
  <c r="R262" i="5"/>
  <c r="U262" i="5" s="1"/>
  <c r="R264" i="5"/>
  <c r="U264" i="5" s="1"/>
  <c r="K274" i="5"/>
  <c r="R172" i="5"/>
  <c r="S272" i="5"/>
  <c r="U272" i="5" s="1"/>
  <c r="T273" i="5"/>
  <c r="U195" i="5" l="1"/>
  <c r="I274" i="5"/>
  <c r="U205" i="5"/>
  <c r="U210" i="5"/>
  <c r="U198" i="5"/>
  <c r="U192" i="5"/>
  <c r="S265" i="5"/>
  <c r="U209" i="5"/>
  <c r="U203" i="5"/>
  <c r="U197" i="5"/>
  <c r="U191" i="5"/>
  <c r="U243" i="5"/>
  <c r="U208" i="5"/>
  <c r="U188" i="5"/>
  <c r="U211" i="5"/>
  <c r="R155" i="5"/>
  <c r="W101" i="5"/>
  <c r="W100" i="5"/>
  <c r="V149" i="5"/>
  <c r="U172" i="5"/>
  <c r="U182" i="5"/>
  <c r="U228" i="5"/>
  <c r="S155" i="5"/>
  <c r="U8" i="5"/>
  <c r="U155" i="5" s="1"/>
  <c r="M274" i="5"/>
  <c r="S274" i="5" s="1"/>
  <c r="U265" i="5"/>
  <c r="L273" i="5"/>
  <c r="L274" i="5" s="1"/>
  <c r="O268" i="5"/>
  <c r="T274" i="5"/>
  <c r="R268" i="5" l="1"/>
  <c r="U268" i="5" s="1"/>
  <c r="O273" i="5"/>
  <c r="O274" i="5" l="1"/>
  <c r="R274" i="5" s="1"/>
  <c r="U274" i="5" s="1"/>
  <c r="R273" i="5"/>
  <c r="U273" i="5" s="1"/>
  <c r="H12" i="4" l="1"/>
  <c r="H9" i="4"/>
  <c r="H8" i="4"/>
  <c r="H7" i="4"/>
  <c r="I3" i="4"/>
  <c r="I2" i="4"/>
  <c r="H9" i="2"/>
  <c r="I8" i="2"/>
  <c r="H7" i="2"/>
  <c r="H6" i="2"/>
  <c r="I5" i="2"/>
  <c r="I3" i="2"/>
  <c r="H2" i="2"/>
  <c r="I2" i="2" s="1"/>
  <c r="I8" i="4" l="1"/>
  <c r="I7" i="4"/>
  <c r="I9" i="2"/>
  <c r="I7" i="2"/>
  <c r="I6" i="2"/>
</calcChain>
</file>

<file path=xl/sharedStrings.xml><?xml version="1.0" encoding="utf-8"?>
<sst xmlns="http://schemas.openxmlformats.org/spreadsheetml/2006/main" count="1766" uniqueCount="508">
  <si>
    <t>Software para análisis de datos</t>
  </si>
  <si>
    <t>Consultoría para el desarrollo del Web Service</t>
  </si>
  <si>
    <t>Encuesta de Factores de riesgo / Sobremuestra</t>
  </si>
  <si>
    <t xml:space="preserve">Diabetes </t>
  </si>
  <si>
    <t>Riesgo Cardiovascular</t>
  </si>
  <si>
    <t>Innovaciòn en cuidados del adulto y enf. Crònicas</t>
  </si>
  <si>
    <t>TICs aplicados a los servicios de salud en red</t>
  </si>
  <si>
    <t>Servicio de auditoria</t>
  </si>
  <si>
    <t>Equipamiento para fotalecer la capacidad diagnóstica en el 1er nivel de atención</t>
  </si>
  <si>
    <t>Graboverificación formularios R ( 2015-2016)</t>
  </si>
  <si>
    <t>Graboverificación formularios R ( 2017)</t>
  </si>
  <si>
    <t>Estudios a definir para la jerarquizacion del 1er nivel de atención</t>
  </si>
  <si>
    <t>Auditoria Financiera</t>
  </si>
  <si>
    <t xml:space="preserve"> Identificador</t>
  </si>
  <si>
    <t>Descripción</t>
  </si>
  <si>
    <t>Monto Estimado Del Contrato</t>
  </si>
  <si>
    <t>Método de Contratación</t>
  </si>
  <si>
    <t>Revisión por el OFI</t>
  </si>
  <si>
    <t>Inicio del Proceso</t>
  </si>
  <si>
    <t>Firma de Contrato</t>
  </si>
  <si>
    <t>Finalización del Contrato</t>
  </si>
  <si>
    <t>B-1</t>
  </si>
  <si>
    <t>LPI</t>
  </si>
  <si>
    <t>Ex ante</t>
  </si>
  <si>
    <t>B-2</t>
  </si>
  <si>
    <t>LPN</t>
  </si>
  <si>
    <t>B-3</t>
  </si>
  <si>
    <t>Ex post</t>
  </si>
  <si>
    <t>B-4</t>
  </si>
  <si>
    <t>CP</t>
  </si>
  <si>
    <t>B-5</t>
  </si>
  <si>
    <t>B-6</t>
  </si>
  <si>
    <t>B-7</t>
  </si>
  <si>
    <t>B-8</t>
  </si>
  <si>
    <t>B-9</t>
  </si>
  <si>
    <t>B-10</t>
  </si>
  <si>
    <t>B-11</t>
  </si>
  <si>
    <t>B-12</t>
  </si>
  <si>
    <t>Equipamiento Informático UFIS</t>
  </si>
  <si>
    <t>Instalaciones y equipamiento logístico para depósito y farmacias (primer año)</t>
  </si>
  <si>
    <t>Instalaciones y equipamiento logístico para depósito y farmacias (segundo año)</t>
  </si>
  <si>
    <t>S-1</t>
  </si>
  <si>
    <t>Impresiones INC (primer año)</t>
  </si>
  <si>
    <t>Impresiones INC (Segundo año)</t>
  </si>
  <si>
    <t>Impresiones INC (tercer año)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</si>
  <si>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</si>
  <si>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</si>
  <si>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</si>
  <si>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</si>
  <si>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</si>
  <si>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</si>
  <si>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</si>
  <si>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</si>
  <si>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</si>
  <si>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</si>
  <si>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Impresiones Redes (primer año)</t>
  </si>
  <si>
    <t>Impresiones Redes (Segundo año)</t>
  </si>
  <si>
    <t>Impresiones Redes (tercer año)</t>
  </si>
  <si>
    <t>Materiales de comunicación y capacitacion (primer año)</t>
  </si>
  <si>
    <t>Materiales de comunicación y capacitacion (segundo año)</t>
  </si>
  <si>
    <t>CF-1</t>
  </si>
  <si>
    <t>CF-2</t>
  </si>
  <si>
    <t>CF-3</t>
  </si>
  <si>
    <t>CF-4</t>
  </si>
  <si>
    <t>CF-5</t>
  </si>
  <si>
    <t>CF-6</t>
  </si>
  <si>
    <t>CF-7</t>
  </si>
  <si>
    <t>CF-8</t>
  </si>
  <si>
    <t>CF-9</t>
  </si>
  <si>
    <t>CF-10</t>
  </si>
  <si>
    <t>SBCC</t>
  </si>
  <si>
    <t xml:space="preserve">Matriz de Costeo Multifase - Fase II </t>
  </si>
  <si>
    <t xml:space="preserve">USD </t>
  </si>
  <si>
    <t>PROGRAMA</t>
  </si>
  <si>
    <t>ACTIVIDADES</t>
  </si>
  <si>
    <t>DESCRIPCION</t>
  </si>
  <si>
    <t>TIPO DE GASTO</t>
  </si>
  <si>
    <t>CANTIDAD</t>
  </si>
  <si>
    <t xml:space="preserve">Periodo </t>
  </si>
  <si>
    <t xml:space="preserve">Precio Unitario </t>
  </si>
  <si>
    <t>Año 1</t>
  </si>
  <si>
    <t>Año 2</t>
  </si>
  <si>
    <t>Año 3</t>
  </si>
  <si>
    <t>TOTAL</t>
  </si>
  <si>
    <t>COSTO TOTAL DEL PROGRAMA</t>
  </si>
  <si>
    <t xml:space="preserve">BID </t>
  </si>
  <si>
    <t xml:space="preserve">LOCAL </t>
  </si>
  <si>
    <t xml:space="preserve">MSAL </t>
  </si>
  <si>
    <t xml:space="preserve">INC </t>
  </si>
  <si>
    <t>1 - FORTALECIMIENTO DEL REGISTRO</t>
  </si>
  <si>
    <t>1.1 - RITA</t>
  </si>
  <si>
    <t>Recursos Humanos</t>
  </si>
  <si>
    <t xml:space="preserve">Registradores </t>
  </si>
  <si>
    <t>14 Consultor I - Locación de servicio</t>
  </si>
  <si>
    <t xml:space="preserve">Consultoria Individual </t>
  </si>
  <si>
    <t>1 Consultor II - Locación de servicio</t>
  </si>
  <si>
    <t>1 Auxiliar administrativo III - Locación de servicio</t>
  </si>
  <si>
    <t>Registradores (Multifase II)</t>
  </si>
  <si>
    <t>50 Consultor I-IV - Locación de servicio</t>
  </si>
  <si>
    <t>Profesional formado en epidemiología para gestión y monitoreo (RRHH nivel central - Multifase II)</t>
  </si>
  <si>
    <t>1 Consultor Experto I-IV - Locación de servicio</t>
  </si>
  <si>
    <t>Médico oncólogo para revisión de tratamientos específicos  (RRHH nivel central - Multifase II)</t>
  </si>
  <si>
    <t>Sociólogo para evaluación y seguimiento del impacto del RITA (RRHH nivel central - Multifase II)</t>
  </si>
  <si>
    <t>Asistente administrativo</t>
  </si>
  <si>
    <t>1 Consultor III - Locación de servicio</t>
  </si>
  <si>
    <t>Consultor para capacitaciones y asistencias técnicas</t>
  </si>
  <si>
    <t>3 Consultor experto I- Locación de servicio</t>
  </si>
  <si>
    <t>Consultor para capacitaciones y asistencias técnicas (Multifase II)</t>
  </si>
  <si>
    <t xml:space="preserve">Consultor desarrollo estrategia integral de evaluaciones del Programa y coordinación de monitoreo </t>
  </si>
  <si>
    <t>1 Consultor Experto III - Locación de servicio</t>
  </si>
  <si>
    <t>Desarrollo informatico</t>
  </si>
  <si>
    <t xml:space="preserve">3 Consultor Experto II - Locación de servicio </t>
  </si>
  <si>
    <t>Desarrollo informatico (Multifase II)</t>
  </si>
  <si>
    <t xml:space="preserve">1 Consultor Experto II - Locación de servicio </t>
  </si>
  <si>
    <t>Coordinador para seguimiento de tablero de control</t>
  </si>
  <si>
    <t>1 Coordinador I- Locación de servicio</t>
  </si>
  <si>
    <t>Reembolso de gastos</t>
  </si>
  <si>
    <t>En concepto de plan de salud, seguro de vida y accidentes</t>
  </si>
  <si>
    <t xml:space="preserve">Reembolso de Gastos </t>
  </si>
  <si>
    <t>Equipamiento e Insumos</t>
  </si>
  <si>
    <t>Computadoras</t>
  </si>
  <si>
    <t>20 Pc, 50 notebooks y 10 tablets</t>
  </si>
  <si>
    <t>Equipamiento informático</t>
  </si>
  <si>
    <t>desarrollo de software</t>
  </si>
  <si>
    <t xml:space="preserve">Firma Consultora </t>
  </si>
  <si>
    <t>Impresiones para relevamiento de datos</t>
  </si>
  <si>
    <t>Planillas de relevamientos de datos - historias clínicas</t>
  </si>
  <si>
    <t>Material Gráfico</t>
  </si>
  <si>
    <t>Capacitaciones</t>
  </si>
  <si>
    <t>Pasajes y viaticos</t>
  </si>
  <si>
    <t>Para capacitación de los RRHH involucrados en el RITA</t>
  </si>
  <si>
    <t xml:space="preserve">Capacitación </t>
  </si>
  <si>
    <t>Catering</t>
  </si>
  <si>
    <t>Honorarios capacitadores</t>
  </si>
  <si>
    <t>Para capacitación de los RRHH involucrados en el RITA - Acuerdo de obra y/o Locación de obra</t>
  </si>
  <si>
    <t>Publicaciones y material de difusión</t>
  </si>
  <si>
    <t>Diseño grafico e impresión</t>
  </si>
  <si>
    <t>Gastos de taller y capacitación</t>
  </si>
  <si>
    <t xml:space="preserve">1.2 - ROHA </t>
  </si>
  <si>
    <t>5  Consultor I - Locación de servicio</t>
  </si>
  <si>
    <t>Reembolso de Gastos</t>
  </si>
  <si>
    <t>Consultoria para articulación con el programa SUMAR</t>
  </si>
  <si>
    <t>Consultoria para el desarrollo de la plataforma virtual</t>
  </si>
  <si>
    <t>L.O. Consultor experto I-IV oConsultoría o Acuerdo de Obra</t>
  </si>
  <si>
    <t>Pasajes y viáticos</t>
  </si>
  <si>
    <t>Para el fortalecimiento de registros ROHA</t>
  </si>
  <si>
    <t>Para el fortalecimiento de registros ROHA - Acuerdo de obra y/o Locación de obra</t>
  </si>
  <si>
    <t>1.3 - SITAM</t>
  </si>
  <si>
    <t>1.3.1 -  Expansión en la implementación de SITAM</t>
  </si>
  <si>
    <t>Registradores</t>
  </si>
  <si>
    <t>33 Consultor I - Locación de servicio</t>
  </si>
  <si>
    <t>2 Auxiliar administrativo III - Locación de servicio</t>
  </si>
  <si>
    <t>57 Consultor I - Locación de servicio</t>
  </si>
  <si>
    <t>Diseñador grafico</t>
  </si>
  <si>
    <t>1 Consultor IV - Locación de servicio</t>
  </si>
  <si>
    <t>6 Consultores expertos I - Locación de servicio</t>
  </si>
  <si>
    <t>2 Consultores expertos III - Locación de servicio</t>
  </si>
  <si>
    <t>1 Consultores expertos IV - Locación de servicio</t>
  </si>
  <si>
    <t>Consultor desarrollo estrategia integral de evaluaciones del Programa y coordinación de monitoreo</t>
  </si>
  <si>
    <t>1 Consultor experto III - Locación de servicio</t>
  </si>
  <si>
    <t>1 Consultor experto IV - Locación de servicio</t>
  </si>
  <si>
    <t>Consultor para mantenimiento (Multifase II)</t>
  </si>
  <si>
    <t>1 Consultor experto I-IV - Locación de servicio</t>
  </si>
  <si>
    <t>Coordinador para seguimiento de tablero de control (Multifase II)</t>
  </si>
  <si>
    <t>1 Coordinador I-IV - Locación de servicio</t>
  </si>
  <si>
    <t>Asistente técnico para la coordinación de Formación de Recursos Humanos</t>
  </si>
  <si>
    <t>Consultor en administración presupuestaria</t>
  </si>
  <si>
    <t>1 Consultor experto II - Locación de servicio</t>
  </si>
  <si>
    <t>Consultor administrativo contable (Multifase II)</t>
  </si>
  <si>
    <t>1 consultor IV - Locación de servicio</t>
  </si>
  <si>
    <t>Asistente administrativo del Programa de Control de Cáncer de Mama</t>
  </si>
  <si>
    <t>1 Consultores I - Locación de servicio</t>
  </si>
  <si>
    <t>1 Consultores III - Locación de servicio</t>
  </si>
  <si>
    <t>Asistente Técnico Administrativo</t>
  </si>
  <si>
    <t>1 Consultor I- Locación de servicio</t>
  </si>
  <si>
    <t>3 Consultor III- Locación de servicio</t>
  </si>
  <si>
    <t>1 Consultor IV- Locación de servicio</t>
  </si>
  <si>
    <t>Auxiliar Administrativo</t>
  </si>
  <si>
    <t>Técnico Administrativo para eventos institucionales</t>
  </si>
  <si>
    <t>1 consultor III- Locación de servicio</t>
  </si>
  <si>
    <t>Consultor en Evaluación de Tecnologías Sanitarias</t>
  </si>
  <si>
    <t>1 Consultor I-IV - Locación de servicio</t>
  </si>
  <si>
    <t>Asistente Técnico Administrativo en Tecnologías Sanitarias e Investigación</t>
  </si>
  <si>
    <t>Consultores para coordinación de capacitaciones (Multifase II)</t>
  </si>
  <si>
    <t>6  Consultores experto I-IV - Locación de servicio</t>
  </si>
  <si>
    <t>60 notebooks</t>
  </si>
  <si>
    <t xml:space="preserve">Impresiones </t>
  </si>
  <si>
    <t>Formularios SITAM</t>
  </si>
  <si>
    <t>Para capacitación de las nuevas jurisdicciones incorporadas</t>
  </si>
  <si>
    <t>Otros gastos</t>
  </si>
  <si>
    <t>Desarrollo informático</t>
  </si>
  <si>
    <t>Desarrollo para el mejoramiento del SITAM</t>
  </si>
  <si>
    <t>1.3.2 AMPLIACIÓN DEL TAMIZAJE CON TEST DE VPH</t>
  </si>
  <si>
    <t>Insumos</t>
  </si>
  <si>
    <t>Test de VPH</t>
  </si>
  <si>
    <t>Compra de insumos para 13 jurisdicciones</t>
  </si>
  <si>
    <t>Insumos Médicos</t>
  </si>
  <si>
    <t>Impresiones</t>
  </si>
  <si>
    <t>Capacitaciones a los equipos de los programas provinciales</t>
  </si>
  <si>
    <t xml:space="preserve">Gastos Operativos </t>
  </si>
  <si>
    <t>1.3.3 APLICATIVO MOVIL SITAM</t>
  </si>
  <si>
    <t>CCR - Desarrolladores (aplicativo movil)</t>
  </si>
  <si>
    <t>3 consultor I-IV - Locación de obra</t>
  </si>
  <si>
    <t>CCR - consultores para nivel central (aplicativo movil)</t>
  </si>
  <si>
    <t>2 Consultor experto I-VI - Locación de obra</t>
  </si>
  <si>
    <t>Desarrollo de aplicación movil</t>
  </si>
  <si>
    <t>15 celulares smart phones</t>
  </si>
  <si>
    <t>2 EXPANSIÓN DEL PROYECTO PILOTO CCR</t>
  </si>
  <si>
    <t>Subcoordinador médico</t>
  </si>
  <si>
    <t>Consultores para coordinación de capacitaciones y monitoreo (Multifase II)</t>
  </si>
  <si>
    <t>12 Consultor experto I-IV - Locación de servicio</t>
  </si>
  <si>
    <t>Data Entry (Multifase II)</t>
  </si>
  <si>
    <t>8 Asistente III - Consultor I - Locación de servicio</t>
  </si>
  <si>
    <t>Colonoscopios</t>
  </si>
  <si>
    <r>
      <t xml:space="preserve">2 en cada una de las 24 provincias a implemetarse la cobertura </t>
    </r>
    <r>
      <rPr>
        <b/>
        <sz val="11"/>
        <color theme="1"/>
        <rFont val="Calibri"/>
        <family val="2"/>
        <scheme val="minor"/>
      </rPr>
      <t>(su adquisicion se encuentra planificada en el prestamo BIRF 8506)</t>
    </r>
  </si>
  <si>
    <t xml:space="preserve">Equipamiento Médico </t>
  </si>
  <si>
    <t>Insumos Colonoscopias</t>
  </si>
  <si>
    <r>
      <t xml:space="preserve">Asas, pinzas  </t>
    </r>
    <r>
      <rPr>
        <b/>
        <sz val="11"/>
        <color theme="1"/>
        <rFont val="Calibri"/>
        <family val="2"/>
        <scheme val="minor"/>
      </rPr>
      <t>(su adquisicion se encuentra planificada en el prestamo BIRF 8506)</t>
    </r>
  </si>
  <si>
    <t>Inyectores</t>
  </si>
  <si>
    <t>Kits de Inmunohistoquímica</t>
  </si>
  <si>
    <t>Compra de reactivos de IHQ</t>
  </si>
  <si>
    <t>TSOMF</t>
  </si>
  <si>
    <r>
      <t xml:space="preserve">Tamizaje del CCR a implementarse en las 24 provincias  </t>
    </r>
    <r>
      <rPr>
        <b/>
        <sz val="11"/>
        <color theme="1"/>
        <rFont val="Calibri"/>
        <family val="2"/>
        <scheme val="minor"/>
      </rPr>
      <t>(su adquisicion se encuentra planificada en el prestamo BIRF 8506)</t>
    </r>
  </si>
  <si>
    <t>Material de comunicación</t>
  </si>
  <si>
    <t>Soporte gráfico y audiovisual para contribuir a las tareas de los equipos de salud</t>
  </si>
  <si>
    <t>Capacitaciones para el fortalecimiento de APS</t>
  </si>
  <si>
    <t>Honorarios para docentes de clases virtuales - Acuerdo de obra y/o Locación de obra</t>
  </si>
  <si>
    <t>3 ESTRATEGIA NAVEGADORAS Y FORTALECIMIENTO DE REDES</t>
  </si>
  <si>
    <t>3.1 Navegadoras</t>
  </si>
  <si>
    <t xml:space="preserve">Navegadores </t>
  </si>
  <si>
    <t>4 Consultores I- Locación de servicio</t>
  </si>
  <si>
    <t>Navegadores (Multifase II)</t>
  </si>
  <si>
    <t>100 Consultores I - Locación de servicio (Multifase II)</t>
  </si>
  <si>
    <t>Equipo coordinador de capacitaciones a nivel central</t>
  </si>
  <si>
    <t>2 Consultores expertos II - Locación de servicio</t>
  </si>
  <si>
    <t>Equipamiento</t>
  </si>
  <si>
    <t>Tablets</t>
  </si>
  <si>
    <t xml:space="preserve">80 tablets </t>
  </si>
  <si>
    <t>Capacitación a Navegadoras</t>
  </si>
  <si>
    <t>Material de difusión y capacitación</t>
  </si>
  <si>
    <t>Desarrollo de red de referencia y contrareferencia</t>
  </si>
  <si>
    <t>3.2 Redes integradas y apoyo a las consejerias</t>
  </si>
  <si>
    <t>Capacitación a las provincias</t>
  </si>
  <si>
    <t>Realización de mesas de gestión y acciones de monitoreo</t>
  </si>
  <si>
    <t>Para 16 capacitaciones en servicio  - Acuerdo de obra y/o Locación de obra</t>
  </si>
  <si>
    <t xml:space="preserve">70 tablets </t>
  </si>
  <si>
    <t>4 FORTALECIMIENTO DEL PRIMER NIVEL DE ATENCIÓN - CAPACITACIÓN</t>
  </si>
  <si>
    <t>4.1 Capacitación</t>
  </si>
  <si>
    <t>Destinados a la capacitacion de los equipos de APS</t>
  </si>
  <si>
    <t>Destinados a la capacitacion de los equipos de APS - Acuerdo de obra y/o Locación de obra</t>
  </si>
  <si>
    <t>Material audiovisual</t>
  </si>
  <si>
    <t>Consultoría para diseño de materiales</t>
  </si>
  <si>
    <t>Destinados a la capacitacion de los equipos de APS - Locación de obra</t>
  </si>
  <si>
    <t>Consultores para estrategia de capacitación</t>
  </si>
  <si>
    <t>2 Consultores experto I-IV - Locación de servicio</t>
  </si>
  <si>
    <t>Reembolsos de gastos</t>
  </si>
  <si>
    <t>4.2 Desarrollo de una aplicación para médicos para la estratificación del riesgo del cáncer</t>
  </si>
  <si>
    <t>Aplicación para celulares para el apoyo de las consultas médicas de consejería de evaluación de antecedentes y riesgo del cáncer</t>
  </si>
  <si>
    <t>Locación de obra</t>
  </si>
  <si>
    <t>5 PROYECTO PILOTO DE CUIDADOS PALIATIVOS</t>
  </si>
  <si>
    <t>Consultor para monitoreo de instituciones y agentes sanitarios (Multifase II)</t>
  </si>
  <si>
    <t>1 Consultor experto I-IV</t>
  </si>
  <si>
    <t>Coordinador de capacitaciones (Multifase II)</t>
  </si>
  <si>
    <t>Actividades de implementación</t>
  </si>
  <si>
    <t>Promover la provisión publica de opioides orales y de un maletin de medicamentos esenciales (Multifase II)</t>
  </si>
  <si>
    <t>1 consultor para la elaboracion de la canasta - Consultor experto I-IV - Locación de Obra</t>
  </si>
  <si>
    <t>Establecer un conjunto de prácticas/recursos indispensables para reducir la prevalencia de dolor y otros síntomas prevalentes por cáncer.  (Multifase II)</t>
  </si>
  <si>
    <t xml:space="preserve">4 Consultores para elaboración instrumentos, realización de entrevistas y encuestas y redacción de documentos conceptual y análisis.   </t>
  </si>
  <si>
    <t>Capacitaciones y asistencias tecnicas para la implementacion de estrategias en el ambito hospitalario (Multifase II)</t>
  </si>
  <si>
    <t>4 consultores para relevamiento y elaboración de documento final  - Consultor experto I-IV - Locación de servicio</t>
  </si>
  <si>
    <t>Notebook</t>
  </si>
  <si>
    <t>6 Notebook para implementar historia clinica digital</t>
  </si>
  <si>
    <t xml:space="preserve">Jornada de validación y presentación de la propuesta elaborada con referentes provinciales y expertos en cuidados paliativos </t>
  </si>
  <si>
    <t>Entrenamiento en manejo de efectos adversos de opioides - Acuerdo de obra y/o Locación de obra</t>
  </si>
  <si>
    <t>Manual de cuidados paliativos</t>
  </si>
  <si>
    <t xml:space="preserve">Total INC </t>
  </si>
  <si>
    <t xml:space="preserve">REDES </t>
  </si>
  <si>
    <t>FORTALECIMIENTO DE LAS REDES DE ATENCION PRIMARIA</t>
  </si>
  <si>
    <t>1.- INCENTIVOS</t>
  </si>
  <si>
    <t>REDES</t>
  </si>
  <si>
    <r>
      <rPr>
        <b/>
        <sz val="11"/>
        <rFont val="Calibri"/>
        <family val="2"/>
        <scheme val="minor"/>
      </rPr>
      <t>INC 1 T 1</t>
    </r>
    <r>
      <rPr>
        <sz val="11"/>
        <rFont val="Calibri"/>
        <family val="2"/>
        <scheme val="minor"/>
      </rPr>
      <t xml:space="preserve">  - Elaboración del Proyecto y Firma del CG, incluye acuerdo de inversión en readecuación y equipamiento en al menos 25 % de los CAPS, para implementar en pcias. con CAPS municipalizados.</t>
    </r>
  </si>
  <si>
    <t>Transferencia</t>
  </si>
  <si>
    <r>
      <rPr>
        <b/>
        <sz val="11"/>
        <rFont val="Calibri"/>
        <family val="2"/>
        <scheme val="minor"/>
      </rPr>
      <t>INC 1  T 2</t>
    </r>
    <r>
      <rPr>
        <sz val="11"/>
        <rFont val="Calibri"/>
        <family val="2"/>
        <scheme val="minor"/>
      </rPr>
      <t xml:space="preserve"> - Presentación de 15% de efectores readecuados según criterios acordados en el T1</t>
    </r>
  </si>
  <si>
    <r>
      <rPr>
        <b/>
        <sz val="11"/>
        <rFont val="Calibri"/>
        <family val="2"/>
        <scheme val="minor"/>
      </rPr>
      <t>INC 2 T 1</t>
    </r>
    <r>
      <rPr>
        <sz val="11"/>
        <rFont val="Calibri"/>
        <family val="2"/>
        <scheme val="minor"/>
      </rPr>
      <t xml:space="preserve">  - Medición  de los indicadores de fortalecimiento de redes de salud para R3 (al año de la firma del convenio)</t>
    </r>
  </si>
  <si>
    <r>
      <rPr>
        <b/>
        <sz val="11"/>
        <rFont val="Calibri"/>
        <family val="2"/>
        <scheme val="minor"/>
      </rPr>
      <t>INC 2 T 2</t>
    </r>
    <r>
      <rPr>
        <sz val="11"/>
        <rFont val="Calibri"/>
        <family val="2"/>
        <scheme val="minor"/>
      </rPr>
      <t xml:space="preserve"> - En el caso de avance en un 10% de la totalidad de la red</t>
    </r>
  </si>
  <si>
    <r>
      <rPr>
        <b/>
        <sz val="11"/>
        <rFont val="Calibri"/>
        <family val="2"/>
        <scheme val="minor"/>
      </rPr>
      <t>INC 2 T 3</t>
    </r>
    <r>
      <rPr>
        <sz val="11"/>
        <rFont val="Calibri"/>
        <family val="2"/>
        <scheme val="minor"/>
      </rPr>
      <t xml:space="preserve"> -  Alcanzar el 65% de la meta sobre la base de redes 3 en los indicadores de fortalecimiento de redes de salud</t>
    </r>
  </si>
  <si>
    <r>
      <rPr>
        <b/>
        <sz val="11"/>
        <rFont val="Calibri"/>
        <family val="2"/>
        <scheme val="minor"/>
      </rPr>
      <t>INC 3 T 1</t>
    </r>
    <r>
      <rPr>
        <sz val="11"/>
        <rFont val="Calibri"/>
        <family val="2"/>
        <scheme val="minor"/>
      </rPr>
      <t xml:space="preserve"> - Implementación de al menos 15% de la Estrategia Comunicacional  de acciones  sanitarias con la comunidad, en forma conjunta con el Área de Comunicación del Ministerio Provincial</t>
    </r>
  </si>
  <si>
    <r>
      <rPr>
        <b/>
        <sz val="11"/>
        <rFont val="Calibri"/>
        <family val="2"/>
        <scheme val="minor"/>
      </rPr>
      <t xml:space="preserve">INC 3 T 2 </t>
    </r>
    <r>
      <rPr>
        <sz val="11"/>
        <rFont val="Calibri"/>
        <family val="2"/>
        <scheme val="minor"/>
      </rPr>
      <t>- Implementación de al menos 35% de la Estrategia Comunicacional  de acciones  sanitarias con la comunidad, en forma conjunta con el Área de Comunicación del Ministerio Provincial</t>
    </r>
  </si>
  <si>
    <r>
      <rPr>
        <b/>
        <sz val="11"/>
        <rFont val="Calibri"/>
        <family val="2"/>
        <scheme val="minor"/>
      </rPr>
      <t>INC 4 T 1</t>
    </r>
    <r>
      <rPr>
        <sz val="11"/>
        <rFont val="Calibri"/>
        <family val="2"/>
        <scheme val="minor"/>
      </rPr>
      <t xml:space="preserve"> - Consolidación de un equipo de formación provincial certificado por la UEC</t>
    </r>
  </si>
  <si>
    <r>
      <rPr>
        <b/>
        <sz val="11"/>
        <rFont val="Calibri"/>
        <family val="2"/>
        <scheme val="minor"/>
      </rPr>
      <t>INC 4 T 2</t>
    </r>
    <r>
      <rPr>
        <sz val="11"/>
        <rFont val="Calibri"/>
        <family val="2"/>
        <scheme val="minor"/>
      </rPr>
      <t xml:space="preserve"> - Capacitación de al menos 2 ( dos ) trabajadores por CAPS de la red nueva (promedio)</t>
    </r>
  </si>
  <si>
    <r>
      <rPr>
        <b/>
        <sz val="11"/>
        <rFont val="Calibri"/>
        <family val="2"/>
        <scheme val="minor"/>
      </rPr>
      <t>INC 5 T 1</t>
    </r>
    <r>
      <rPr>
        <sz val="11"/>
        <rFont val="Calibri"/>
        <family val="2"/>
        <scheme val="minor"/>
      </rPr>
      <t xml:space="preserve"> - Listados con identificación de las personas adultas nominalizadas y discrimación de condiciones como Hta, Diabetes, ECNT y otras de riesgo o vulnerabilidad en el 50% de los efectores</t>
    </r>
  </si>
  <si>
    <r>
      <rPr>
        <b/>
        <sz val="11"/>
        <rFont val="Calibri"/>
        <family val="2"/>
        <scheme val="minor"/>
      </rPr>
      <t>INC 5 T 2</t>
    </r>
    <r>
      <rPr>
        <sz val="11"/>
        <rFont val="Calibri"/>
        <family val="2"/>
        <scheme val="minor"/>
      </rPr>
      <t xml:space="preserve"> - Listados con identificación de las personas adultas nominalizadas y discrimación de condiciones como Hta, Diabetes, ECNT y otras de riesgo o vulnerabilidad (100% CAPS)</t>
    </r>
  </si>
  <si>
    <t>2.-PROYECTOS INNOVADORES</t>
  </si>
  <si>
    <t xml:space="preserve">Proyectos  innovadores  que potencien  acciones promotoras de redes de salud </t>
  </si>
  <si>
    <t>Propuestas Pcias que incentiven la transferencia de conocimiento aplicable y el uso de la innovación tecnológica</t>
  </si>
  <si>
    <t>3 años</t>
  </si>
  <si>
    <t>Honorarios Comité de expertos</t>
  </si>
  <si>
    <t>comité de evaluación de propuestas</t>
  </si>
  <si>
    <t>Consultoria Individual- LO</t>
  </si>
  <si>
    <t>seguimiento  y monitoreo de ejecución</t>
  </si>
  <si>
    <t>pasajes y viaticos</t>
  </si>
  <si>
    <t>3.- PILOTO DE CERTIFICACIÓN</t>
  </si>
  <si>
    <t xml:space="preserve">Gastos planificados varios para llevar adelante el proyecto piloto </t>
  </si>
  <si>
    <t>Gastos elegibles</t>
  </si>
  <si>
    <t>4.- INVESTIGACIÓN</t>
  </si>
  <si>
    <t>UFIS 20% de costo de la encuesta de ENFR</t>
  </si>
  <si>
    <t>Firmas consultoras</t>
  </si>
  <si>
    <t>5.- RECURSOS HUMANOS</t>
  </si>
  <si>
    <t>Coordinador General de Redes</t>
  </si>
  <si>
    <t>Responsable de Proyecto II</t>
  </si>
  <si>
    <t>Staff de Coordinación Mesa de entradas y Apoyo a la Coordinación General de Redes</t>
  </si>
  <si>
    <t>Consultor I a Consultor IV</t>
  </si>
  <si>
    <t>Staff de Apoyo de la Coordinación General de Redes</t>
  </si>
  <si>
    <t>Consultor III a Consultor Experto I</t>
  </si>
  <si>
    <t>Asesor Legal</t>
  </si>
  <si>
    <t>Coordinador III a  Responsable de Proyecto I</t>
  </si>
  <si>
    <t>Responsable de la Unidad de Gestión Jurisdiccional</t>
  </si>
  <si>
    <t>Staff de Apoyo de la Unidad de Gestión Jurisdiccional</t>
  </si>
  <si>
    <t>Consutor I a Consultor experto I</t>
  </si>
  <si>
    <t>Responsable Operativo Regional</t>
  </si>
  <si>
    <t>Consultor Experto III a Coordinador I</t>
  </si>
  <si>
    <t>Staff Técnico del Área de Seguimiento Jurisdiccional</t>
  </si>
  <si>
    <t>Consultor IV a  Consultor Experto IV</t>
  </si>
  <si>
    <t>Staff de Apoyo del Área de Gestión jurisdiccional</t>
  </si>
  <si>
    <t>Responsable  del Área de Auditoría</t>
  </si>
  <si>
    <t>Consultor Experto III a  Coordinador I</t>
  </si>
  <si>
    <t>Staff Técnico del Área de Auditoría</t>
  </si>
  <si>
    <t>Consultor Experto I a Consultor Experto III</t>
  </si>
  <si>
    <t>Responsable UGJ</t>
  </si>
  <si>
    <t>Consultor Experto IV a Coordinador III</t>
  </si>
  <si>
    <t>Responsable  del Área de Microgestión</t>
  </si>
  <si>
    <t>Coordinador I a Coordinador IV</t>
  </si>
  <si>
    <t xml:space="preserve">Staff de Seguimiento a la Microgestión </t>
  </si>
  <si>
    <t>Consultor II a Consultor Experto I</t>
  </si>
  <si>
    <t>Staff Asistente de la unidad  de Microgestión</t>
  </si>
  <si>
    <t>Administrativo III a Consultor III</t>
  </si>
  <si>
    <t>Staff de Microgestión Jurisdiccional</t>
  </si>
  <si>
    <t>Referente médico de microgestión</t>
  </si>
  <si>
    <t>Consultor IV a Consultor Experto III</t>
  </si>
  <si>
    <t>Agente Sanitario de microgestión</t>
  </si>
  <si>
    <t>Responsable de la Unidad de Fortalecimiento de Competencias de Equipos de Salud</t>
  </si>
  <si>
    <t>Staff de Apoyo de la Unidad de Fortalecimiento de Competencias del Equipo de Salud</t>
  </si>
  <si>
    <t>Tutor Docente Curso</t>
  </si>
  <si>
    <t>Consultor III  a Consultor Experto III</t>
  </si>
  <si>
    <t>Responsable  del Área de Comunicación en Redes de Salud</t>
  </si>
  <si>
    <t>Consultor Experto Iii  a Coordinador II</t>
  </si>
  <si>
    <t>Staff Técnico del Área de Comunicación en Redes de Salud</t>
  </si>
  <si>
    <t>Consultor Experto I a Consultor Experto IV</t>
  </si>
  <si>
    <t>Responsable del Unidad de Planificación y Administración</t>
  </si>
  <si>
    <t>Responsable de Area Administración</t>
  </si>
  <si>
    <t>Consultor Experto IV a Coordinador II</t>
  </si>
  <si>
    <t>Staff de Apoyo del Unidad de   Planificación y Administración</t>
  </si>
  <si>
    <t>Consultor II a Consultor Experto II</t>
  </si>
  <si>
    <t>Especialista Financiero</t>
  </si>
  <si>
    <t>Consultor Experto I a Coordinador I</t>
  </si>
  <si>
    <t>Staff Técnico del Unidad de Administración y Planificación</t>
  </si>
  <si>
    <t>Responsable de Area RRHH</t>
  </si>
  <si>
    <t>Consultor Experto II a Coordinador I</t>
  </si>
  <si>
    <t>Staff Técnico de RRHH</t>
  </si>
  <si>
    <t>Consultor III a Consultor Experto III</t>
  </si>
  <si>
    <t xml:space="preserve">Responsable  de la Unidad  de Monitoreo e Investigación </t>
  </si>
  <si>
    <t>Responsable del Area de Investigación</t>
  </si>
  <si>
    <t>Coordinador I - Coordinador IV</t>
  </si>
  <si>
    <t>Staff Técnico del Área de monitoreo e  Investigación</t>
  </si>
  <si>
    <t>Reembolsos de Gastos</t>
  </si>
  <si>
    <t>Reembolsos por gastos médicos</t>
  </si>
  <si>
    <t>Pasajes y viaticos de la UEC  asistencia técnica y supervisión a equipos Pcias</t>
  </si>
  <si>
    <t xml:space="preserve">6- EQUIPAMIENTO </t>
  </si>
  <si>
    <t>Equipamiento informatico</t>
  </si>
  <si>
    <t>computadoras / perifericos</t>
  </si>
  <si>
    <t xml:space="preserve">7- CAPACITACIONES </t>
  </si>
  <si>
    <t>Para equipo docente y de apoyo a la capacitación</t>
  </si>
  <si>
    <t>Para capacitación de los RRHH involucrados</t>
  </si>
  <si>
    <t xml:space="preserve"> Acuerdo de obra y/o Locación de obra</t>
  </si>
  <si>
    <t>8- MATERIAL DE COMUNICACIÓN</t>
  </si>
  <si>
    <t xml:space="preserve">Material gráfico general </t>
  </si>
  <si>
    <t>9- AUDITORIA</t>
  </si>
  <si>
    <t>auditoria de incentivos</t>
  </si>
  <si>
    <t>Firma consultora</t>
  </si>
  <si>
    <t>Total REDES</t>
  </si>
  <si>
    <t>MEDICAMENTOS</t>
  </si>
  <si>
    <t>1- RECURSOS HUMANOS</t>
  </si>
  <si>
    <t xml:space="preserve"> Comunicación Social</t>
  </si>
  <si>
    <t>Área de Sistemas de Información</t>
  </si>
  <si>
    <t>Auditoria y Control de Calidad</t>
  </si>
  <si>
    <t>Coordinación de Remediar</t>
  </si>
  <si>
    <t>Depósito</t>
  </si>
  <si>
    <t>Unidad de Logística y Gestión de Medicamentos</t>
  </si>
  <si>
    <t>Unidad de Planificación Estratégica</t>
  </si>
  <si>
    <t>Unidad de Promoción del Uso Racional de Medicamentos</t>
  </si>
  <si>
    <t xml:space="preserve">Unidad de Seguimiento y Evaluación </t>
  </si>
  <si>
    <t>Responsable provincial Medicamentos</t>
  </si>
  <si>
    <t>Locación de Obra</t>
  </si>
  <si>
    <t>2- EQUIPAMIENTO MEDICO</t>
  </si>
  <si>
    <t xml:space="preserve">Ecocardiografos </t>
  </si>
  <si>
    <t>Equipamiento medico</t>
  </si>
  <si>
    <t xml:space="preserve">Ecografos </t>
  </si>
  <si>
    <t xml:space="preserve">Equipo de Rayos Portatiles </t>
  </si>
  <si>
    <t xml:space="preserve">Mamografos </t>
  </si>
  <si>
    <t xml:space="preserve">Cardiodesfibrilador </t>
  </si>
  <si>
    <t>3- EQUIPAMIENTO INFORMATICO</t>
  </si>
  <si>
    <t>Equipamiento Informático para la gestión de servicios farmacéuticos y Sistema Operativo para la Dispensa y Posterior digitalizacion de la receta</t>
  </si>
  <si>
    <t>4- EQUIPAMIENTO CAPS -DEPOSITOS Y FARMACIAS</t>
  </si>
  <si>
    <t xml:space="preserve">Instalaciones y equipamiento logístico para depósito y farmacias </t>
  </si>
  <si>
    <t>(Estanterias, mobiliario, mesas de trabajo, sillas)</t>
  </si>
  <si>
    <t>Equipamiento varios</t>
  </si>
  <si>
    <t>5- MATERIAL GRAFICO</t>
  </si>
  <si>
    <t>Materiales de comunicación y capacitacion</t>
  </si>
  <si>
    <t>Material grafico</t>
  </si>
  <si>
    <t>6- DIGITALIZACION DE DATOS</t>
  </si>
  <si>
    <t>Servicio de graboverificacion</t>
  </si>
  <si>
    <t>7- ESTUDIOS Y EVALUACIONES</t>
  </si>
  <si>
    <t>8- CAPACITACION</t>
  </si>
  <si>
    <t xml:space="preserve">TOTAL MEDICAMENTOS </t>
  </si>
  <si>
    <t>ADMINISTRACION DEL PROYECTO</t>
  </si>
  <si>
    <t xml:space="preserve">ADMINISTRACION </t>
  </si>
  <si>
    <t>Costo UFIs</t>
  </si>
  <si>
    <t xml:space="preserve">Gastos operativos </t>
  </si>
  <si>
    <t xml:space="preserve">Otras servicios </t>
  </si>
  <si>
    <t>Otros insumos</t>
  </si>
  <si>
    <t>Equipamiento informatico UFIs</t>
  </si>
  <si>
    <t xml:space="preserve">TOTAL ADMINISTRACION </t>
  </si>
  <si>
    <t>CI</t>
  </si>
  <si>
    <t>Bienes</t>
  </si>
  <si>
    <t>Servicios</t>
  </si>
  <si>
    <t>GS General</t>
  </si>
  <si>
    <t>Transferencias</t>
  </si>
  <si>
    <t>FTE 11</t>
  </si>
  <si>
    <t xml:space="preserve">Equipamiento Informático Redes </t>
  </si>
  <si>
    <t>Solicitante</t>
  </si>
  <si>
    <t>Medicamentos</t>
  </si>
  <si>
    <t xml:space="preserve">Equipamiento Informático INC </t>
  </si>
  <si>
    <t>INC</t>
  </si>
  <si>
    <t>Redes</t>
  </si>
  <si>
    <t>UFIS</t>
  </si>
  <si>
    <t>B-13</t>
  </si>
  <si>
    <t>Insumos Médicos INC Test de VPH (primer año) FUENTE 11</t>
  </si>
  <si>
    <t>Insumos Médicos INC Test de VPH (segundo año) FUENTE 11</t>
  </si>
  <si>
    <t>Insumos Médicos INC Test de VPH (tercer año) FUENTE 11</t>
  </si>
  <si>
    <t>Insumos Médicos INC Inyectores (primer año) FUENTE 11</t>
  </si>
  <si>
    <t>Insumos Médicos INC Inyectores (segundo año) FUENTE 11</t>
  </si>
  <si>
    <t>B-14</t>
  </si>
  <si>
    <t>B-15</t>
  </si>
  <si>
    <t>B-16</t>
  </si>
  <si>
    <t>servicios</t>
  </si>
  <si>
    <t>B-17</t>
  </si>
  <si>
    <t>Publicaciones y material de difusión (primer año)</t>
  </si>
  <si>
    <t>S-12</t>
  </si>
  <si>
    <t>S-13</t>
  </si>
  <si>
    <t>S-14</t>
  </si>
  <si>
    <t>CF-11</t>
  </si>
  <si>
    <t>Impacto de la capacitación en la práctica clínica. Curso de Terapéutica Racional en el PNA</t>
  </si>
  <si>
    <t>Jerarquización del Primer Nivel de Atención - Acceso a Medicamentos Esenciales. Evaluación de Medio Término 2018</t>
  </si>
  <si>
    <t>S-15</t>
  </si>
  <si>
    <t>S-16</t>
  </si>
  <si>
    <t>Material audiovisual (primer año)</t>
  </si>
  <si>
    <t>Material audiovisual (segundo año)</t>
  </si>
  <si>
    <t>Estudio de impacto del SITAM en gestión Hospitalaria</t>
  </si>
  <si>
    <t>Impacto del Fortalecimiento del primer nivel de atención en la detección oportuna de los canceres</t>
  </si>
  <si>
    <t>Insumos Médicos INC Inyectores (tercer año) FUENTE 11</t>
  </si>
  <si>
    <t>Insumos Médicos INC Reactivos IHQ (primer compra) FUENTE 11</t>
  </si>
  <si>
    <t>Insumos Médicos INC Reactivos IHQ (segunda compra) FUENTE 11</t>
  </si>
  <si>
    <t>Publicaciones y material de difusión (segundo año)</t>
  </si>
  <si>
    <t>Publicaciones y material de difusión (tercer año)</t>
  </si>
  <si>
    <t>Equipamiento para fortalecer la capacidad diagnóstica en el 1er nivel de atención</t>
  </si>
  <si>
    <t>Materiales de comunicación y capacitación (tercer año)</t>
  </si>
  <si>
    <t>Auditoría Financiera</t>
  </si>
  <si>
    <t>Smart Phone para el uso del aplicativo estratificación de riesgo del cáncer</t>
  </si>
  <si>
    <t>Desarrollo de software para análisis de datos</t>
  </si>
  <si>
    <t>SCC</t>
  </si>
  <si>
    <t>Convenio (CD)</t>
  </si>
  <si>
    <t xml:space="preserve">Evaluación piloto de Diabetes </t>
  </si>
  <si>
    <t>Evaluación piloto Riesgo Cardiovascular</t>
  </si>
  <si>
    <t>Servicio de auditoria médica</t>
  </si>
  <si>
    <t>Equipamiento Informático para la gestión de servicios farmacéuticos para la Dispensa y Posterior digitalización de la receta (primer año)</t>
  </si>
  <si>
    <t>Equipamiento Informático para la gestión de servicios farmacéuticos  para la Dispensa y Posterior digitalización de la receta (segundo año)</t>
  </si>
  <si>
    <t>Categoría de Contratación</t>
  </si>
  <si>
    <t>Método</t>
  </si>
  <si>
    <t>Revisión</t>
  </si>
  <si>
    <t>Elaboración de ET</t>
  </si>
  <si>
    <t>Elaboración de DP</t>
  </si>
  <si>
    <t>Solicitud de N.O. al DP</t>
  </si>
  <si>
    <t>N.O. al DP</t>
  </si>
  <si>
    <t>Publicación</t>
  </si>
  <si>
    <t>Apertura de ofertas</t>
  </si>
  <si>
    <t>Evaluación de Ofertas</t>
  </si>
  <si>
    <t>Solicitud de N.O. al IE</t>
  </si>
  <si>
    <t>N.O. al IE</t>
  </si>
  <si>
    <t>Adjudicación</t>
  </si>
  <si>
    <t>Publicación de Adjudicación</t>
  </si>
  <si>
    <t>x</t>
  </si>
  <si>
    <t>Fecha de finalización</t>
  </si>
  <si>
    <t>Identificador</t>
  </si>
  <si>
    <t>Elaboración de TDR</t>
  </si>
  <si>
    <t>Cierre EI</t>
  </si>
  <si>
    <t>Elaboración PP y Lista Corta</t>
  </si>
  <si>
    <t>Solicitud de N.O. al PP</t>
  </si>
  <si>
    <t>N.O. al PP</t>
  </si>
  <si>
    <t>Invitación</t>
  </si>
  <si>
    <t>Apertura de PT</t>
  </si>
  <si>
    <t>Evaluación de PT</t>
  </si>
  <si>
    <t>Solicitud de N.O. a la ET</t>
  </si>
  <si>
    <t>N.O. a la ET</t>
  </si>
  <si>
    <t>Apertura de PF</t>
  </si>
  <si>
    <t>Evaluación Combinada</t>
  </si>
  <si>
    <t>Negociación</t>
  </si>
  <si>
    <t>Solicitud de N.O. al Borrador del Contrato</t>
  </si>
  <si>
    <t>N.O. al Borrador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</si>
</sst>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€_-;\-* #,##0.00\ _€_-;_-* &quot;-&quot;??\ _€_-;_-@_-"/>
    <numFmt numFmtId="166" formatCode="_ * #,##0_ ;_ * \-#,##0_ ;_ * &quot;-&quot;??_ ;_ @_ 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000000"/>
      <name val="Calibri"/>
      <family val="2"/>
    </font>
    <font>
      <b/>
      <sz val="10"/>
      <name val="MS Sans Serif"/>
    </font>
    <font>
      <b/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6" fontId="3" fillId="4" borderId="15" xfId="1" applyNumberFormat="1" applyFont="1" applyFill="1" applyBorder="1" applyAlignment="1">
      <alignment horizontal="center" vertical="center"/>
    </xf>
    <xf numFmtId="166" fontId="3" fillId="4" borderId="16" xfId="1" applyNumberFormat="1" applyFont="1" applyFill="1" applyBorder="1" applyAlignment="1">
      <alignment horizontal="center" vertical="center"/>
    </xf>
    <xf numFmtId="166" fontId="3" fillId="4" borderId="17" xfId="1" applyNumberFormat="1" applyFont="1" applyFill="1" applyBorder="1" applyAlignment="1">
      <alignment horizontal="center" vertical="center"/>
    </xf>
    <xf numFmtId="166" fontId="3" fillId="4" borderId="18" xfId="1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0" fillId="6" borderId="21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166" fontId="3" fillId="6" borderId="22" xfId="0" applyNumberFormat="1" applyFont="1" applyFill="1" applyBorder="1" applyAlignment="1">
      <alignment vertical="center"/>
    </xf>
    <xf numFmtId="166" fontId="3" fillId="6" borderId="23" xfId="0" applyNumberFormat="1" applyFont="1" applyFill="1" applyBorder="1" applyAlignment="1">
      <alignment vertical="center"/>
    </xf>
    <xf numFmtId="166" fontId="3" fillId="6" borderId="24" xfId="0" applyNumberFormat="1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/>
    </xf>
    <xf numFmtId="166" fontId="3" fillId="5" borderId="22" xfId="0" applyNumberFormat="1" applyFont="1" applyFill="1" applyBorder="1" applyAlignment="1">
      <alignment vertical="center"/>
    </xf>
    <xf numFmtId="166" fontId="3" fillId="5" borderId="23" xfId="0" applyNumberFormat="1" applyFont="1" applyFill="1" applyBorder="1" applyAlignment="1">
      <alignment vertical="center"/>
    </xf>
    <xf numFmtId="166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66" fontId="4" fillId="0" borderId="27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0" borderId="28" xfId="1" applyNumberFormat="1" applyFont="1" applyFill="1" applyBorder="1" applyAlignment="1">
      <alignment vertical="center"/>
    </xf>
    <xf numFmtId="166" fontId="0" fillId="0" borderId="27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0" fillId="0" borderId="26" xfId="1" applyNumberFormat="1" applyFon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166" fontId="1" fillId="0" borderId="27" xfId="1" applyNumberFormat="1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vertical="center"/>
    </xf>
    <xf numFmtId="166" fontId="1" fillId="0" borderId="28" xfId="1" applyNumberFormat="1" applyFont="1" applyFill="1" applyBorder="1" applyAlignment="1">
      <alignment vertical="center"/>
    </xf>
    <xf numFmtId="166" fontId="1" fillId="0" borderId="27" xfId="1" applyNumberFormat="1" applyFont="1" applyBorder="1" applyAlignment="1">
      <alignment vertical="center"/>
    </xf>
    <xf numFmtId="166" fontId="1" fillId="0" borderId="1" xfId="1" applyNumberFormat="1" applyFont="1" applyBorder="1" applyAlignment="1">
      <alignment vertical="center"/>
    </xf>
    <xf numFmtId="166" fontId="1" fillId="0" borderId="28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66" fontId="0" fillId="0" borderId="28" xfId="1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0" fillId="6" borderId="23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6" fontId="0" fillId="0" borderId="27" xfId="1" applyNumberFormat="1" applyFont="1" applyFill="1" applyBorder="1" applyAlignment="1">
      <alignment vertical="center"/>
    </xf>
    <xf numFmtId="166" fontId="0" fillId="0" borderId="28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166" fontId="1" fillId="7" borderId="27" xfId="1" applyNumberFormat="1" applyFont="1" applyFill="1" applyBorder="1" applyAlignment="1">
      <alignment vertical="center"/>
    </xf>
    <xf numFmtId="166" fontId="1" fillId="7" borderId="1" xfId="1" applyNumberFormat="1" applyFont="1" applyFill="1" applyBorder="1" applyAlignment="1">
      <alignment vertical="center"/>
    </xf>
    <xf numFmtId="166" fontId="1" fillId="7" borderId="28" xfId="1" applyNumberFormat="1" applyFont="1" applyFill="1" applyBorder="1" applyAlignment="1">
      <alignment vertical="center"/>
    </xf>
    <xf numFmtId="166" fontId="0" fillId="7" borderId="27" xfId="1" applyNumberFormat="1" applyFont="1" applyFill="1" applyBorder="1" applyAlignment="1">
      <alignment vertical="center"/>
    </xf>
    <xf numFmtId="166" fontId="0" fillId="7" borderId="1" xfId="1" applyNumberFormat="1" applyFont="1" applyFill="1" applyBorder="1" applyAlignment="1">
      <alignment vertical="center"/>
    </xf>
    <xf numFmtId="166" fontId="0" fillId="7" borderId="28" xfId="1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66" fontId="3" fillId="0" borderId="23" xfId="0" applyNumberFormat="1" applyFont="1" applyFill="1" applyBorder="1" applyAlignment="1">
      <alignment vertical="center"/>
    </xf>
    <xf numFmtId="166" fontId="3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166" fontId="0" fillId="4" borderId="22" xfId="1" applyNumberFormat="1" applyFont="1" applyFill="1" applyBorder="1" applyAlignment="1">
      <alignment vertical="center"/>
    </xf>
    <xf numFmtId="166" fontId="0" fillId="4" borderId="23" xfId="1" applyNumberFormat="1" applyFont="1" applyFill="1" applyBorder="1" applyAlignment="1">
      <alignment vertical="center"/>
    </xf>
    <xf numFmtId="166" fontId="0" fillId="4" borderId="24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166" fontId="3" fillId="6" borderId="2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166" fontId="3" fillId="2" borderId="27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6" fontId="3" fillId="2" borderId="28" xfId="0" applyNumberFormat="1" applyFont="1" applyFill="1" applyBorder="1" applyAlignment="1">
      <alignment vertical="center"/>
    </xf>
    <xf numFmtId="166" fontId="3" fillId="2" borderId="26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6" fontId="3" fillId="2" borderId="25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vertical="center"/>
    </xf>
    <xf numFmtId="166" fontId="3" fillId="8" borderId="1" xfId="1" applyNumberFormat="1" applyFont="1" applyFill="1" applyBorder="1" applyAlignment="1">
      <alignment vertical="center"/>
    </xf>
    <xf numFmtId="166" fontId="3" fillId="8" borderId="28" xfId="1" applyNumberFormat="1" applyFont="1" applyFill="1" applyBorder="1" applyAlignment="1">
      <alignment vertical="center"/>
    </xf>
    <xf numFmtId="166" fontId="3" fillId="8" borderId="27" xfId="1" applyNumberFormat="1" applyFont="1" applyFill="1" applyBorder="1" applyAlignment="1">
      <alignment vertical="center"/>
    </xf>
    <xf numFmtId="166" fontId="3" fillId="8" borderId="26" xfId="1" applyNumberFormat="1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 wrapText="1"/>
    </xf>
    <xf numFmtId="166" fontId="3" fillId="4" borderId="26" xfId="1" applyNumberFormat="1" applyFont="1" applyFill="1" applyBorder="1" applyAlignment="1">
      <alignment vertical="center"/>
    </xf>
    <xf numFmtId="166" fontId="3" fillId="4" borderId="26" xfId="1" applyNumberFormat="1" applyFont="1" applyFill="1" applyBorder="1" applyAlignment="1">
      <alignment vertical="center" wrapText="1"/>
    </xf>
    <xf numFmtId="166" fontId="3" fillId="4" borderId="23" xfId="1" applyNumberFormat="1" applyFont="1" applyFill="1" applyBorder="1" applyAlignment="1">
      <alignment vertical="center" wrapText="1"/>
    </xf>
    <xf numFmtId="166" fontId="0" fillId="4" borderId="23" xfId="1" applyNumberFormat="1" applyFont="1" applyFill="1" applyBorder="1" applyAlignment="1">
      <alignment vertical="center" wrapText="1"/>
    </xf>
    <xf numFmtId="166" fontId="3" fillId="4" borderId="23" xfId="1" applyNumberFormat="1" applyFont="1" applyFill="1" applyBorder="1" applyAlignment="1">
      <alignment horizontal="center" vertical="center"/>
    </xf>
    <xf numFmtId="166" fontId="3" fillId="4" borderId="23" xfId="1" applyNumberFormat="1" applyFont="1" applyFill="1" applyBorder="1" applyAlignment="1">
      <alignment vertical="center"/>
    </xf>
    <xf numFmtId="166" fontId="3" fillId="4" borderId="22" xfId="1" applyNumberFormat="1" applyFont="1" applyFill="1" applyBorder="1" applyAlignment="1">
      <alignment vertical="center"/>
    </xf>
    <xf numFmtId="166" fontId="3" fillId="4" borderId="25" xfId="1" applyNumberFormat="1" applyFont="1" applyFill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166" fontId="3" fillId="9" borderId="29" xfId="1" applyNumberFormat="1" applyFont="1" applyFill="1" applyBorder="1" applyAlignment="1">
      <alignment vertical="center"/>
    </xf>
    <xf numFmtId="166" fontId="3" fillId="9" borderId="30" xfId="1" applyNumberFormat="1" applyFont="1" applyFill="1" applyBorder="1" applyAlignment="1">
      <alignment vertical="center"/>
    </xf>
    <xf numFmtId="166" fontId="3" fillId="9" borderId="31" xfId="1" applyNumberFormat="1" applyFont="1" applyFill="1" applyBorder="1" applyAlignment="1">
      <alignment vertical="center"/>
    </xf>
    <xf numFmtId="166" fontId="3" fillId="9" borderId="32" xfId="1" applyNumberFormat="1" applyFont="1" applyFill="1" applyBorder="1" applyAlignment="1">
      <alignment vertical="center"/>
    </xf>
    <xf numFmtId="166" fontId="3" fillId="9" borderId="25" xfId="0" applyNumberFormat="1" applyFont="1" applyFill="1" applyBorder="1" applyAlignment="1">
      <alignment horizontal="center" vertical="center"/>
    </xf>
    <xf numFmtId="0" fontId="0" fillId="9" borderId="16" xfId="0" applyFill="1" applyBorder="1" applyAlignment="1">
      <alignment vertical="center"/>
    </xf>
    <xf numFmtId="0" fontId="0" fillId="9" borderId="16" xfId="0" applyFill="1" applyBorder="1" applyAlignment="1">
      <alignment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33" xfId="0" applyFont="1" applyFill="1" applyBorder="1" applyAlignment="1">
      <alignment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vertical="center" wrapText="1"/>
    </xf>
    <xf numFmtId="166" fontId="3" fillId="9" borderId="15" xfId="1" applyNumberFormat="1" applyFont="1" applyFill="1" applyBorder="1" applyAlignment="1">
      <alignment vertical="center" wrapText="1"/>
    </xf>
    <xf numFmtId="166" fontId="3" fillId="9" borderId="16" xfId="1" applyNumberFormat="1" applyFont="1" applyFill="1" applyBorder="1" applyAlignment="1">
      <alignment vertical="center" wrapText="1"/>
    </xf>
    <xf numFmtId="166" fontId="3" fillId="9" borderId="17" xfId="1" applyNumberFormat="1" applyFont="1" applyFill="1" applyBorder="1" applyAlignment="1">
      <alignment vertical="center" wrapText="1"/>
    </xf>
    <xf numFmtId="164" fontId="3" fillId="9" borderId="16" xfId="1" applyNumberFormat="1" applyFont="1" applyFill="1" applyBorder="1" applyAlignment="1">
      <alignment vertical="center" wrapText="1"/>
    </xf>
    <xf numFmtId="164" fontId="3" fillId="9" borderId="34" xfId="1" applyNumberFormat="1" applyFont="1" applyFill="1" applyBorder="1" applyAlignment="1">
      <alignment vertical="center" wrapText="1"/>
    </xf>
    <xf numFmtId="166" fontId="3" fillId="9" borderId="15" xfId="1" applyNumberFormat="1" applyFont="1" applyFill="1" applyBorder="1" applyAlignment="1">
      <alignment vertical="center"/>
    </xf>
    <xf numFmtId="166" fontId="3" fillId="9" borderId="16" xfId="1" applyNumberFormat="1" applyFont="1" applyFill="1" applyBorder="1" applyAlignment="1">
      <alignment vertical="center"/>
    </xf>
    <xf numFmtId="166" fontId="3" fillId="9" borderId="18" xfId="1" applyNumberFormat="1" applyFont="1" applyFill="1" applyBorder="1" applyAlignment="1">
      <alignment vertical="center"/>
    </xf>
    <xf numFmtId="166" fontId="3" fillId="9" borderId="35" xfId="0" applyNumberFormat="1" applyFont="1" applyFill="1" applyBorder="1" applyAlignment="1">
      <alignment vertical="center"/>
    </xf>
    <xf numFmtId="10" fontId="0" fillId="0" borderId="0" xfId="2" applyNumberFormat="1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38" xfId="0" applyNumberFormat="1" applyFont="1" applyBorder="1" applyAlignment="1">
      <alignment vertical="center"/>
    </xf>
    <xf numFmtId="166" fontId="3" fillId="0" borderId="39" xfId="0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166" fontId="3" fillId="10" borderId="27" xfId="1" applyNumberFormat="1" applyFont="1" applyFill="1" applyBorder="1" applyAlignment="1">
      <alignment vertical="center"/>
    </xf>
    <xf numFmtId="166" fontId="3" fillId="10" borderId="1" xfId="1" applyNumberFormat="1" applyFont="1" applyFill="1" applyBorder="1" applyAlignment="1">
      <alignment vertical="center"/>
    </xf>
    <xf numFmtId="166" fontId="3" fillId="10" borderId="28" xfId="1" applyNumberFormat="1" applyFont="1" applyFill="1" applyBorder="1" applyAlignment="1">
      <alignment vertical="center"/>
    </xf>
    <xf numFmtId="166" fontId="1" fillId="10" borderId="27" xfId="1" applyNumberFormat="1" applyFont="1" applyFill="1" applyBorder="1" applyAlignment="1">
      <alignment vertical="center"/>
    </xf>
    <xf numFmtId="166" fontId="1" fillId="10" borderId="1" xfId="1" applyNumberFormat="1" applyFont="1" applyFill="1" applyBorder="1" applyAlignment="1">
      <alignment vertical="center"/>
    </xf>
    <xf numFmtId="166" fontId="1" fillId="10" borderId="28" xfId="1" applyNumberFormat="1" applyFont="1" applyFill="1" applyBorder="1" applyAlignment="1">
      <alignment vertical="center"/>
    </xf>
    <xf numFmtId="166" fontId="0" fillId="10" borderId="27" xfId="1" applyNumberFormat="1" applyFont="1" applyFill="1" applyBorder="1" applyAlignment="1">
      <alignment vertical="center"/>
    </xf>
    <xf numFmtId="166" fontId="0" fillId="10" borderId="1" xfId="1" applyNumberFormat="1" applyFont="1" applyFill="1" applyBorder="1" applyAlignment="1">
      <alignment vertical="center"/>
    </xf>
    <xf numFmtId="166" fontId="0" fillId="10" borderId="26" xfId="1" applyNumberFormat="1" applyFont="1" applyFill="1" applyBorder="1" applyAlignment="1">
      <alignment vertical="center"/>
    </xf>
    <xf numFmtId="166" fontId="0" fillId="10" borderId="25" xfId="0" applyNumberFormat="1" applyFill="1" applyBorder="1" applyAlignment="1">
      <alignment vertical="center"/>
    </xf>
    <xf numFmtId="0" fontId="0" fillId="1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7" fontId="6" fillId="0" borderId="1" xfId="1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9" fillId="11" borderId="40" xfId="0" applyFont="1" applyFill="1" applyBorder="1" applyAlignment="1" applyProtection="1">
      <alignment horizontal="center" vertical="center"/>
    </xf>
    <xf numFmtId="0" fontId="9" fillId="11" borderId="40" xfId="0" applyFont="1" applyFill="1" applyBorder="1" applyAlignment="1" applyProtection="1">
      <alignment horizontal="center" vertical="center" wrapText="1"/>
    </xf>
    <xf numFmtId="0" fontId="10" fillId="12" borderId="40" xfId="0" applyFont="1" applyFill="1" applyBorder="1" applyAlignment="1">
      <alignment horizontal="center" vertical="center"/>
    </xf>
    <xf numFmtId="14" fontId="0" fillId="0" borderId="0" xfId="0" applyNumberFormat="1"/>
    <xf numFmtId="14" fontId="0" fillId="0" borderId="40" xfId="0" applyNumberFormat="1" applyBorder="1" applyAlignment="1">
      <alignment vertical="center"/>
    </xf>
    <xf numFmtId="0" fontId="0" fillId="0" borderId="0" xfId="0" applyAlignment="1">
      <alignment wrapText="1"/>
    </xf>
    <xf numFmtId="0" fontId="11" fillId="12" borderId="40" xfId="0" applyFont="1" applyFill="1" applyBorder="1" applyAlignment="1">
      <alignment horizontal="center" vertical="center"/>
    </xf>
    <xf numFmtId="0" fontId="9" fillId="11" borderId="41" xfId="0" applyFont="1" applyFill="1" applyBorder="1" applyAlignment="1" applyProtection="1">
      <alignment horizontal="center" vertical="center"/>
    </xf>
    <xf numFmtId="14" fontId="0" fillId="0" borderId="40" xfId="0" applyNumberFormat="1" applyBorder="1"/>
    <xf numFmtId="14" fontId="0" fillId="0" borderId="40" xfId="0" applyNumberFormat="1" applyFill="1" applyBorder="1"/>
    <xf numFmtId="0" fontId="0" fillId="0" borderId="0" xfId="0" applyNumberFormat="1"/>
    <xf numFmtId="14" fontId="0" fillId="0" borderId="0" xfId="0" applyNumberFormat="1" applyFill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teli\AppData\Local\Microsoft\Windows\Temporary%20Internet%20Files\Content.Outlook\9RLTZBVV\Copia%20de%20Matriz%20de%20costos%20-%20L1196-%2029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 RESUMEN"/>
      <sheetName val="COSTEO"/>
      <sheetName val="RRHH"/>
      <sheetName val="Dec. Adm. 607-2015"/>
      <sheetName val="COSTEO TD"/>
    </sheetNames>
    <sheetDataSet>
      <sheetData sheetId="0"/>
      <sheetData sheetId="1"/>
      <sheetData sheetId="2">
        <row r="6">
          <cell r="I6">
            <v>148410.08000000002</v>
          </cell>
          <cell r="K6">
            <v>185512.60000000003</v>
          </cell>
          <cell r="M6">
            <v>231890.75000000006</v>
          </cell>
        </row>
        <row r="7">
          <cell r="I7">
            <v>11582.480000000001</v>
          </cell>
          <cell r="K7">
            <v>14478.100000000002</v>
          </cell>
          <cell r="M7">
            <v>18097.625000000004</v>
          </cell>
        </row>
        <row r="8">
          <cell r="I8">
            <v>7852</v>
          </cell>
          <cell r="K8">
            <v>9815</v>
          </cell>
          <cell r="M8">
            <v>12268.75</v>
          </cell>
        </row>
        <row r="9">
          <cell r="J9">
            <v>162552</v>
          </cell>
          <cell r="L9">
            <v>541840</v>
          </cell>
          <cell r="N9">
            <v>1058281.25</v>
          </cell>
        </row>
        <row r="10">
          <cell r="I10">
            <v>16883.36</v>
          </cell>
          <cell r="K10">
            <v>21104.2</v>
          </cell>
          <cell r="M10">
            <v>26380.25</v>
          </cell>
        </row>
        <row r="11">
          <cell r="I11">
            <v>16883.36</v>
          </cell>
          <cell r="K11">
            <v>21104.2</v>
          </cell>
          <cell r="M11">
            <v>26380.25</v>
          </cell>
        </row>
        <row r="12">
          <cell r="I12">
            <v>16883.36</v>
          </cell>
          <cell r="K12">
            <v>21104.2</v>
          </cell>
          <cell r="M12">
            <v>26380.25</v>
          </cell>
        </row>
        <row r="13">
          <cell r="I13">
            <v>12563.2</v>
          </cell>
          <cell r="K13">
            <v>15704</v>
          </cell>
          <cell r="M13">
            <v>19630</v>
          </cell>
        </row>
        <row r="14">
          <cell r="I14">
            <v>43580.160000000003</v>
          </cell>
          <cell r="K14">
            <v>54475.200000000004</v>
          </cell>
          <cell r="M14">
            <v>68094</v>
          </cell>
        </row>
        <row r="15">
          <cell r="I15">
            <v>12563.2</v>
          </cell>
          <cell r="K15">
            <v>15704</v>
          </cell>
          <cell r="M15">
            <v>19630</v>
          </cell>
        </row>
        <row r="16">
          <cell r="I16">
            <v>16883.36</v>
          </cell>
          <cell r="K16">
            <v>21104.2</v>
          </cell>
          <cell r="M16">
            <v>26380.25</v>
          </cell>
        </row>
        <row r="17">
          <cell r="I17">
            <v>47115.12</v>
          </cell>
          <cell r="K17">
            <v>58893.9</v>
          </cell>
          <cell r="M17">
            <v>73617.375</v>
          </cell>
        </row>
        <row r="18">
          <cell r="I18">
            <v>15705.04</v>
          </cell>
          <cell r="K18">
            <v>19631.300000000003</v>
          </cell>
          <cell r="M18">
            <v>24539.125000000004</v>
          </cell>
        </row>
        <row r="19">
          <cell r="I19">
            <v>19631.04</v>
          </cell>
          <cell r="K19">
            <v>24538.800000000003</v>
          </cell>
          <cell r="M19">
            <v>30673.500000000004</v>
          </cell>
        </row>
        <row r="20">
          <cell r="I20">
            <v>53003.6</v>
          </cell>
          <cell r="K20">
            <v>66254.5</v>
          </cell>
          <cell r="M20">
            <v>82818.125</v>
          </cell>
        </row>
        <row r="21">
          <cell r="I21">
            <v>19000</v>
          </cell>
          <cell r="K21">
            <v>24700</v>
          </cell>
          <cell r="M21">
            <v>0</v>
          </cell>
        </row>
        <row r="22">
          <cell r="I22">
            <v>349823.76</v>
          </cell>
          <cell r="K22">
            <v>437279.7</v>
          </cell>
          <cell r="M22">
            <v>546599.625</v>
          </cell>
        </row>
        <row r="23">
          <cell r="I23">
            <v>15704</v>
          </cell>
          <cell r="K23">
            <v>19630</v>
          </cell>
          <cell r="M23">
            <v>24537.5</v>
          </cell>
        </row>
        <row r="24">
          <cell r="J24">
            <v>351769.59999999998</v>
          </cell>
          <cell r="L24">
            <v>659568</v>
          </cell>
          <cell r="N24">
            <v>1118910</v>
          </cell>
        </row>
        <row r="25">
          <cell r="I25">
            <v>13546</v>
          </cell>
          <cell r="K25">
            <v>16932.5</v>
          </cell>
          <cell r="M25">
            <v>21165.625</v>
          </cell>
        </row>
        <row r="26">
          <cell r="I26">
            <v>87160.320000000007</v>
          </cell>
          <cell r="K26">
            <v>108950.40000000001</v>
          </cell>
          <cell r="M26">
            <v>136188</v>
          </cell>
        </row>
        <row r="27">
          <cell r="I27">
            <v>33766.720000000001</v>
          </cell>
          <cell r="K27">
            <v>42208.4</v>
          </cell>
          <cell r="M27">
            <v>52760.5</v>
          </cell>
        </row>
        <row r="28">
          <cell r="I28">
            <v>18060.640000000003</v>
          </cell>
          <cell r="K28">
            <v>22575.800000000003</v>
          </cell>
          <cell r="M28">
            <v>28219.750000000004</v>
          </cell>
        </row>
        <row r="29">
          <cell r="I29">
            <v>16883.36</v>
          </cell>
          <cell r="K29">
            <v>21104.2</v>
          </cell>
          <cell r="M29">
            <v>26380.25</v>
          </cell>
        </row>
        <row r="30">
          <cell r="I30">
            <v>18060.640000000003</v>
          </cell>
          <cell r="K30">
            <v>22575.800000000003</v>
          </cell>
          <cell r="M30">
            <v>28219.750000000004</v>
          </cell>
        </row>
        <row r="31">
          <cell r="I31">
            <v>16883.36</v>
          </cell>
          <cell r="K31">
            <v>21104.2</v>
          </cell>
          <cell r="M31">
            <v>26380.25</v>
          </cell>
        </row>
        <row r="32">
          <cell r="I32">
            <v>22771.840000000004</v>
          </cell>
          <cell r="K32">
            <v>28464.800000000003</v>
          </cell>
          <cell r="M32">
            <v>35581</v>
          </cell>
        </row>
        <row r="33">
          <cell r="I33">
            <v>16883.36</v>
          </cell>
          <cell r="K33">
            <v>21104.2</v>
          </cell>
          <cell r="M33">
            <v>26380.25</v>
          </cell>
        </row>
        <row r="34">
          <cell r="I34">
            <v>15705.04</v>
          </cell>
          <cell r="K34">
            <v>19631.300000000003</v>
          </cell>
          <cell r="M34">
            <v>24539.125000000004</v>
          </cell>
        </row>
        <row r="35">
          <cell r="I35">
            <v>13546</v>
          </cell>
          <cell r="K35">
            <v>16932.5</v>
          </cell>
          <cell r="M35">
            <v>21165.625</v>
          </cell>
        </row>
        <row r="36">
          <cell r="I36">
            <v>13546</v>
          </cell>
          <cell r="K36">
            <v>16932.5</v>
          </cell>
          <cell r="M36">
            <v>21165.625</v>
          </cell>
        </row>
        <row r="37">
          <cell r="I37">
            <v>10600.720000000001</v>
          </cell>
          <cell r="K37">
            <v>13250.900000000001</v>
          </cell>
          <cell r="M37">
            <v>16563.625</v>
          </cell>
        </row>
        <row r="38">
          <cell r="I38">
            <v>12563.2</v>
          </cell>
          <cell r="K38">
            <v>15704</v>
          </cell>
          <cell r="M38">
            <v>19630</v>
          </cell>
        </row>
        <row r="39">
          <cell r="I39">
            <v>10600.720000000001</v>
          </cell>
          <cell r="K39">
            <v>13250.900000000001</v>
          </cell>
          <cell r="M39">
            <v>16563.625</v>
          </cell>
        </row>
        <row r="40">
          <cell r="I40">
            <v>37689.599999999999</v>
          </cell>
          <cell r="K40">
            <v>47112</v>
          </cell>
          <cell r="M40">
            <v>58890</v>
          </cell>
        </row>
        <row r="41">
          <cell r="I41">
            <v>13546</v>
          </cell>
          <cell r="K41">
            <v>16932.5</v>
          </cell>
          <cell r="M41">
            <v>21165.625</v>
          </cell>
        </row>
        <row r="42">
          <cell r="I42">
            <v>13546</v>
          </cell>
          <cell r="K42">
            <v>16932.5</v>
          </cell>
          <cell r="M42">
            <v>21165.625</v>
          </cell>
        </row>
        <row r="43">
          <cell r="I43">
            <v>12563.2</v>
          </cell>
          <cell r="K43">
            <v>15704</v>
          </cell>
          <cell r="M43">
            <v>19630</v>
          </cell>
        </row>
        <row r="44">
          <cell r="I44">
            <v>13546</v>
          </cell>
          <cell r="K44">
            <v>16932.5</v>
          </cell>
          <cell r="M44">
            <v>21165.625</v>
          </cell>
        </row>
        <row r="45">
          <cell r="I45">
            <v>12563.2</v>
          </cell>
          <cell r="K45">
            <v>15704</v>
          </cell>
          <cell r="M45">
            <v>19630</v>
          </cell>
        </row>
        <row r="46">
          <cell r="I46">
            <v>101300.16</v>
          </cell>
          <cell r="K46">
            <v>126625.20000000001</v>
          </cell>
          <cell r="M46">
            <v>158281.5</v>
          </cell>
        </row>
        <row r="47">
          <cell r="I47">
            <v>37689.599999999999</v>
          </cell>
          <cell r="K47">
            <v>47112</v>
          </cell>
          <cell r="M47">
            <v>58890</v>
          </cell>
        </row>
        <row r="48">
          <cell r="I48">
            <v>33766.720000000001</v>
          </cell>
          <cell r="K48">
            <v>42208.4</v>
          </cell>
          <cell r="M48">
            <v>52760.5</v>
          </cell>
        </row>
        <row r="49">
          <cell r="I49">
            <v>15705.04</v>
          </cell>
          <cell r="K49">
            <v>19631.300000000003</v>
          </cell>
          <cell r="M49">
            <v>24539.125000000004</v>
          </cell>
        </row>
        <row r="50">
          <cell r="I50">
            <v>202600.32000000001</v>
          </cell>
          <cell r="K50">
            <v>253250.40000000002</v>
          </cell>
          <cell r="M50">
            <v>316563</v>
          </cell>
        </row>
        <row r="51">
          <cell r="I51">
            <v>84805.760000000009</v>
          </cell>
          <cell r="K51">
            <v>106007.20000000001</v>
          </cell>
          <cell r="M51">
            <v>132509</v>
          </cell>
        </row>
        <row r="52">
          <cell r="I52">
            <v>42402.880000000005</v>
          </cell>
          <cell r="K52">
            <v>53003.600000000006</v>
          </cell>
          <cell r="M52">
            <v>66254.5</v>
          </cell>
        </row>
        <row r="53">
          <cell r="J53">
            <v>515091.20000000001</v>
          </cell>
          <cell r="L53">
            <v>989352</v>
          </cell>
          <cell r="N53">
            <v>1963000</v>
          </cell>
        </row>
        <row r="54">
          <cell r="I54">
            <v>31410.080000000002</v>
          </cell>
          <cell r="K54">
            <v>39262.600000000006</v>
          </cell>
          <cell r="M54">
            <v>49078.250000000007</v>
          </cell>
        </row>
        <row r="55">
          <cell r="I55">
            <v>33766.720000000001</v>
          </cell>
          <cell r="K55">
            <v>42208.4</v>
          </cell>
          <cell r="M55">
            <v>52760.5</v>
          </cell>
        </row>
        <row r="57">
          <cell r="I57">
            <v>16883.36</v>
          </cell>
          <cell r="K57">
            <v>21104.2</v>
          </cell>
          <cell r="M57">
            <v>26380.25</v>
          </cell>
        </row>
        <row r="58">
          <cell r="I58">
            <v>16883.36</v>
          </cell>
          <cell r="K58">
            <v>21104.2</v>
          </cell>
          <cell r="M58">
            <v>26380.25</v>
          </cell>
        </row>
        <row r="59">
          <cell r="I59">
            <v>16883.36</v>
          </cell>
          <cell r="K59">
            <v>21104.2</v>
          </cell>
          <cell r="M59">
            <v>0</v>
          </cell>
        </row>
        <row r="60">
          <cell r="I60">
            <v>67533.440000000002</v>
          </cell>
          <cell r="K60">
            <v>84416.8</v>
          </cell>
          <cell r="M60">
            <v>105521</v>
          </cell>
        </row>
        <row r="61">
          <cell r="I61">
            <v>67533.440000000002</v>
          </cell>
          <cell r="K61">
            <v>84416.8</v>
          </cell>
          <cell r="M61">
            <v>105521</v>
          </cell>
        </row>
        <row r="70">
          <cell r="J70">
            <v>28857.920000000002</v>
          </cell>
          <cell r="L70">
            <v>36072.400000000001</v>
          </cell>
          <cell r="N70">
            <v>45090.5</v>
          </cell>
        </row>
        <row r="71">
          <cell r="I71">
            <v>27092</v>
          </cell>
          <cell r="K71">
            <v>33865</v>
          </cell>
          <cell r="M71">
            <v>42331.25</v>
          </cell>
        </row>
        <row r="72">
          <cell r="I72">
            <v>13546</v>
          </cell>
          <cell r="J72">
            <v>13546</v>
          </cell>
          <cell r="K72">
            <v>16932.5</v>
          </cell>
          <cell r="L72">
            <v>16932.5</v>
          </cell>
          <cell r="M72">
            <v>21165.625</v>
          </cell>
          <cell r="N72">
            <v>21165.625</v>
          </cell>
        </row>
        <row r="73">
          <cell r="I73">
            <v>27287.52</v>
          </cell>
          <cell r="K73">
            <v>34109.4</v>
          </cell>
          <cell r="M73">
            <v>42636.75</v>
          </cell>
        </row>
        <row r="74">
          <cell r="I74">
            <v>27287.52</v>
          </cell>
          <cell r="K74">
            <v>34109.4</v>
          </cell>
          <cell r="M74">
            <v>42636.75</v>
          </cell>
        </row>
        <row r="75">
          <cell r="I75">
            <v>12563.2</v>
          </cell>
          <cell r="K75">
            <v>15704</v>
          </cell>
          <cell r="M75">
            <v>19630</v>
          </cell>
        </row>
        <row r="76">
          <cell r="I76">
            <v>39262.080000000002</v>
          </cell>
          <cell r="J76">
            <v>19631.04</v>
          </cell>
          <cell r="K76">
            <v>49077.600000000006</v>
          </cell>
          <cell r="L76">
            <v>24538.800000000003</v>
          </cell>
          <cell r="M76">
            <v>61347.000000000007</v>
          </cell>
          <cell r="N76">
            <v>30673.500000000004</v>
          </cell>
        </row>
        <row r="77">
          <cell r="I77">
            <v>118183.52</v>
          </cell>
          <cell r="J77">
            <v>168833.6</v>
          </cell>
          <cell r="K77">
            <v>147729.4</v>
          </cell>
          <cell r="L77">
            <v>211042</v>
          </cell>
          <cell r="M77">
            <v>184661.75</v>
          </cell>
          <cell r="N77">
            <v>263802.5</v>
          </cell>
        </row>
        <row r="78">
          <cell r="J78">
            <v>11582.480000000001</v>
          </cell>
          <cell r="L78">
            <v>14478.100000000002</v>
          </cell>
          <cell r="N78">
            <v>18097.625000000004</v>
          </cell>
        </row>
        <row r="79">
          <cell r="I79">
            <v>16883.36</v>
          </cell>
          <cell r="K79">
            <v>21104.2</v>
          </cell>
          <cell r="M79">
            <v>26380.25</v>
          </cell>
        </row>
        <row r="80">
          <cell r="I80">
            <v>15705.04</v>
          </cell>
          <cell r="K80">
            <v>19631.300000000003</v>
          </cell>
          <cell r="M80">
            <v>24539.125000000004</v>
          </cell>
        </row>
        <row r="81">
          <cell r="I81">
            <v>546524.16000000003</v>
          </cell>
          <cell r="K81">
            <v>683155.20000000007</v>
          </cell>
          <cell r="M81">
            <v>853944.00000000012</v>
          </cell>
        </row>
        <row r="82">
          <cell r="J82">
            <v>24342.239999999998</v>
          </cell>
          <cell r="K82">
            <v>0</v>
          </cell>
          <cell r="L82">
            <v>30427.799999999996</v>
          </cell>
          <cell r="N82">
            <v>38034.749999999993</v>
          </cell>
        </row>
        <row r="83">
          <cell r="I83">
            <v>29053.440000000002</v>
          </cell>
          <cell r="J83">
            <v>29053.440000000002</v>
          </cell>
          <cell r="K83">
            <v>36316.800000000003</v>
          </cell>
          <cell r="L83">
            <v>36316.800000000003</v>
          </cell>
          <cell r="M83">
            <v>45396</v>
          </cell>
          <cell r="N83">
            <v>45396</v>
          </cell>
        </row>
        <row r="84">
          <cell r="I84">
            <v>10600.720000000001</v>
          </cell>
          <cell r="K84">
            <v>13250.900000000001</v>
          </cell>
          <cell r="M84">
            <v>16563.625</v>
          </cell>
        </row>
        <row r="85">
          <cell r="I85">
            <v>339206.40000000002</v>
          </cell>
          <cell r="K85">
            <v>424008</v>
          </cell>
          <cell r="M85">
            <v>530010</v>
          </cell>
        </row>
        <row r="86">
          <cell r="I86">
            <v>376920.96</v>
          </cell>
          <cell r="K86">
            <v>471151.2</v>
          </cell>
          <cell r="M86">
            <v>588939</v>
          </cell>
        </row>
        <row r="87">
          <cell r="I87">
            <v>289562</v>
          </cell>
          <cell r="K87">
            <v>361952.5</v>
          </cell>
          <cell r="M87">
            <v>452440.625</v>
          </cell>
        </row>
        <row r="88">
          <cell r="I88">
            <v>27287.52</v>
          </cell>
          <cell r="K88">
            <v>34109.4</v>
          </cell>
          <cell r="M88">
            <v>42636.75</v>
          </cell>
        </row>
        <row r="89">
          <cell r="I89">
            <v>81276</v>
          </cell>
          <cell r="K89">
            <v>101595</v>
          </cell>
          <cell r="M89">
            <v>126993.75</v>
          </cell>
        </row>
        <row r="90">
          <cell r="I90">
            <v>40638</v>
          </cell>
          <cell r="K90">
            <v>50797.5</v>
          </cell>
          <cell r="M90">
            <v>63496.875</v>
          </cell>
        </row>
        <row r="91">
          <cell r="J91">
            <v>21201.439999999999</v>
          </cell>
          <cell r="L91">
            <v>26501.8</v>
          </cell>
          <cell r="N91">
            <v>33127.25</v>
          </cell>
        </row>
        <row r="92">
          <cell r="I92">
            <v>15705.04</v>
          </cell>
          <cell r="J92">
            <v>31410.080000000002</v>
          </cell>
          <cell r="K92">
            <v>19631.300000000003</v>
          </cell>
          <cell r="L92">
            <v>39262.600000000006</v>
          </cell>
          <cell r="M92">
            <v>24539.125000000004</v>
          </cell>
          <cell r="N92">
            <v>49078.250000000007</v>
          </cell>
        </row>
        <row r="93">
          <cell r="I93">
            <v>27287.52</v>
          </cell>
          <cell r="K93">
            <v>34109.4</v>
          </cell>
          <cell r="M93">
            <v>42636.75</v>
          </cell>
        </row>
        <row r="94">
          <cell r="I94">
            <v>21201.440000000002</v>
          </cell>
          <cell r="K94">
            <v>26501.800000000003</v>
          </cell>
          <cell r="M94">
            <v>33127.25</v>
          </cell>
        </row>
        <row r="95">
          <cell r="I95">
            <v>40638</v>
          </cell>
          <cell r="J95">
            <v>27092</v>
          </cell>
          <cell r="K95">
            <v>50797.5</v>
          </cell>
          <cell r="L95">
            <v>33865</v>
          </cell>
          <cell r="M95">
            <v>63496.875</v>
          </cell>
          <cell r="N95">
            <v>42331.25</v>
          </cell>
        </row>
        <row r="96">
          <cell r="J96">
            <v>19631.039999999997</v>
          </cell>
          <cell r="L96">
            <v>24538.799999999996</v>
          </cell>
          <cell r="N96">
            <v>30673.499999999993</v>
          </cell>
        </row>
        <row r="97">
          <cell r="I97">
            <v>36121.280000000006</v>
          </cell>
          <cell r="K97">
            <v>45151.600000000006</v>
          </cell>
          <cell r="M97">
            <v>56439.500000000007</v>
          </cell>
        </row>
        <row r="98">
          <cell r="I98">
            <v>18060.640000000003</v>
          </cell>
          <cell r="K98">
            <v>22575.800000000003</v>
          </cell>
          <cell r="M98">
            <v>28219.750000000004</v>
          </cell>
        </row>
        <row r="99">
          <cell r="I99">
            <v>43580.160000000003</v>
          </cell>
          <cell r="K99">
            <v>54475.200000000004</v>
          </cell>
          <cell r="M99">
            <v>68094</v>
          </cell>
        </row>
        <row r="100">
          <cell r="I100">
            <v>27287.52</v>
          </cell>
          <cell r="K100">
            <v>34109.4</v>
          </cell>
          <cell r="M100">
            <v>42636.75</v>
          </cell>
        </row>
        <row r="101">
          <cell r="I101">
            <v>24342.240000000002</v>
          </cell>
          <cell r="K101">
            <v>30427.800000000003</v>
          </cell>
          <cell r="M101">
            <v>38034.75</v>
          </cell>
        </row>
        <row r="102">
          <cell r="I102">
            <v>50650.080000000002</v>
          </cell>
          <cell r="K102">
            <v>63312.600000000006</v>
          </cell>
          <cell r="M102">
            <v>79140.75</v>
          </cell>
        </row>
        <row r="105">
          <cell r="I105">
            <v>212800</v>
          </cell>
          <cell r="K105">
            <v>235600</v>
          </cell>
          <cell r="M105">
            <v>247760</v>
          </cell>
        </row>
        <row r="227">
          <cell r="I227">
            <v>546524.16000000003</v>
          </cell>
          <cell r="K227">
            <v>683155.20000000007</v>
          </cell>
          <cell r="M227">
            <v>853944.00000000012</v>
          </cell>
        </row>
        <row r="229">
          <cell r="I229">
            <v>201600</v>
          </cell>
          <cell r="K229">
            <v>223200</v>
          </cell>
          <cell r="M229">
            <v>234720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19"/>
  <sheetViews>
    <sheetView view="pageBreakPreview" zoomScaleNormal="100" zoomScaleSheetLayoutView="100" workbookViewId="0">
      <selection activeCell="K14" sqref="K14"/>
    </sheetView>
  </sheetViews>
  <sheetFormatPr defaultColWidth="11.42578125" defaultRowHeight="15" x14ac:dyDescent="0.25"/>
  <cols>
    <col min="1" max="1" width="10.85546875" style="1" customWidth="1"/>
    <col min="2" max="2" width="44" style="1" bestFit="1" customWidth="1"/>
    <col min="3" max="3" width="12.42578125" style="1" bestFit="1" customWidth="1"/>
    <col min="4" max="4" width="13.28515625" style="1" customWidth="1"/>
    <col min="5" max="5" width="11.140625" style="1" customWidth="1"/>
    <col min="6" max="6" width="13.140625" style="1" bestFit="1" customWidth="1"/>
    <col min="7" max="9" width="12" style="1" bestFit="1" customWidth="1"/>
    <col min="10" max="10" width="5.140625" style="1" bestFit="1" customWidth="1"/>
    <col min="11" max="16384" width="11.42578125" style="1"/>
  </cols>
  <sheetData>
    <row r="1" spans="1:16363" ht="46.5" customHeight="1" x14ac:dyDescent="0.25">
      <c r="A1" s="192" t="s">
        <v>13</v>
      </c>
      <c r="B1" s="192" t="s">
        <v>14</v>
      </c>
      <c r="C1" s="192" t="s">
        <v>429</v>
      </c>
      <c r="D1" s="192" t="s">
        <v>15</v>
      </c>
      <c r="E1" s="192" t="s">
        <v>16</v>
      </c>
      <c r="F1" s="192" t="s">
        <v>17</v>
      </c>
      <c r="G1" s="192" t="s">
        <v>18</v>
      </c>
      <c r="H1" s="193" t="s">
        <v>19</v>
      </c>
      <c r="I1" s="194" t="s">
        <v>20</v>
      </c>
      <c r="J1" s="212"/>
    </row>
    <row r="2" spans="1:16363" ht="25.5" x14ac:dyDescent="0.25">
      <c r="A2" s="213" t="s">
        <v>21</v>
      </c>
      <c r="B2" s="188" t="s">
        <v>464</v>
      </c>
      <c r="C2" s="213" t="s">
        <v>430</v>
      </c>
      <c r="D2" s="189">
        <v>29666980</v>
      </c>
      <c r="E2" s="213" t="s">
        <v>22</v>
      </c>
      <c r="F2" s="190" t="s">
        <v>23</v>
      </c>
      <c r="G2" s="191">
        <v>43738</v>
      </c>
      <c r="H2" s="191">
        <f>+G2+206</f>
        <v>43944</v>
      </c>
      <c r="I2" s="191">
        <f>+H2+120</f>
        <v>44064</v>
      </c>
      <c r="J2" s="214">
        <v>120</v>
      </c>
      <c r="K2" s="216"/>
      <c r="L2" s="216"/>
      <c r="M2" s="216"/>
      <c r="N2" s="220"/>
      <c r="O2" s="220"/>
      <c r="P2" s="220"/>
    </row>
    <row r="3" spans="1:16363" x14ac:dyDescent="0.25">
      <c r="A3" s="213" t="s">
        <v>24</v>
      </c>
      <c r="B3" s="213" t="s">
        <v>431</v>
      </c>
      <c r="C3" s="213" t="s">
        <v>432</v>
      </c>
      <c r="D3" s="189">
        <v>322088</v>
      </c>
      <c r="E3" s="213" t="s">
        <v>25</v>
      </c>
      <c r="F3" s="190" t="s">
        <v>27</v>
      </c>
      <c r="G3" s="191">
        <v>42771</v>
      </c>
      <c r="H3" s="191">
        <f>+G3+145</f>
        <v>42916</v>
      </c>
      <c r="I3" s="191">
        <f>+H3+90</f>
        <v>43006</v>
      </c>
      <c r="J3" s="214">
        <v>90</v>
      </c>
      <c r="K3" s="216"/>
      <c r="L3" s="216"/>
      <c r="M3" s="216"/>
      <c r="N3" s="220"/>
      <c r="O3" s="220"/>
      <c r="P3" s="220"/>
    </row>
    <row r="4" spans="1:16363" ht="25.5" x14ac:dyDescent="0.25">
      <c r="A4" s="213" t="s">
        <v>26</v>
      </c>
      <c r="B4" s="188" t="s">
        <v>467</v>
      </c>
      <c r="C4" s="213" t="s">
        <v>432</v>
      </c>
      <c r="D4" s="189">
        <v>18000</v>
      </c>
      <c r="E4" s="213" t="s">
        <v>29</v>
      </c>
      <c r="F4" s="190" t="s">
        <v>27</v>
      </c>
      <c r="G4" s="191">
        <v>43167</v>
      </c>
      <c r="H4" s="191">
        <f>+G4+83</f>
        <v>43250</v>
      </c>
      <c r="I4" s="191">
        <f>+H4+J4</f>
        <v>43280</v>
      </c>
      <c r="J4" s="214">
        <v>30</v>
      </c>
      <c r="K4" s="216"/>
      <c r="L4" s="216"/>
      <c r="M4" s="216"/>
      <c r="N4" s="220"/>
      <c r="O4" s="220"/>
      <c r="P4" s="220"/>
    </row>
    <row r="5" spans="1:16363" x14ac:dyDescent="0.25">
      <c r="A5" s="213" t="s">
        <v>28</v>
      </c>
      <c r="B5" s="213" t="s">
        <v>428</v>
      </c>
      <c r="C5" s="213" t="s">
        <v>433</v>
      </c>
      <c r="D5" s="189">
        <v>533860</v>
      </c>
      <c r="E5" s="213" t="s">
        <v>22</v>
      </c>
      <c r="F5" s="190" t="s">
        <v>23</v>
      </c>
      <c r="G5" s="191">
        <v>43054</v>
      </c>
      <c r="H5" s="191">
        <f>+G5+206</f>
        <v>43260</v>
      </c>
      <c r="I5" s="191">
        <f>+H5+90</f>
        <v>43350</v>
      </c>
      <c r="J5" s="214">
        <v>90</v>
      </c>
      <c r="K5" s="216"/>
      <c r="L5" s="216"/>
      <c r="M5" s="216"/>
      <c r="N5" s="220"/>
      <c r="O5" s="220"/>
      <c r="P5" s="220"/>
    </row>
    <row r="6" spans="1:16363" ht="38.25" x14ac:dyDescent="0.25">
      <c r="A6" s="213" t="s">
        <v>30</v>
      </c>
      <c r="B6" s="188" t="s">
        <v>474</v>
      </c>
      <c r="C6" s="213" t="s">
        <v>430</v>
      </c>
      <c r="D6" s="189">
        <v>874250</v>
      </c>
      <c r="E6" s="213" t="s">
        <v>22</v>
      </c>
      <c r="F6" s="190" t="s">
        <v>23</v>
      </c>
      <c r="G6" s="191">
        <v>43363</v>
      </c>
      <c r="H6" s="191">
        <f>+G6+206</f>
        <v>43569</v>
      </c>
      <c r="I6" s="191">
        <f>+H6+120</f>
        <v>43689</v>
      </c>
      <c r="J6" s="214">
        <v>120</v>
      </c>
      <c r="K6" s="234"/>
      <c r="L6" s="234"/>
      <c r="M6" s="234"/>
      <c r="N6" s="220"/>
      <c r="O6" s="220"/>
      <c r="P6" s="22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</row>
    <row r="7" spans="1:16363" ht="38.25" x14ac:dyDescent="0.25">
      <c r="A7" s="213" t="s">
        <v>31</v>
      </c>
      <c r="B7" s="188" t="s">
        <v>475</v>
      </c>
      <c r="C7" s="213" t="s">
        <v>430</v>
      </c>
      <c r="D7" s="189">
        <v>1311375</v>
      </c>
      <c r="E7" s="213" t="s">
        <v>22</v>
      </c>
      <c r="F7" s="190" t="s">
        <v>23</v>
      </c>
      <c r="G7" s="191">
        <v>43716</v>
      </c>
      <c r="H7" s="191">
        <f>+G7+206</f>
        <v>43922</v>
      </c>
      <c r="I7" s="191">
        <f>+H7+120</f>
        <v>44042</v>
      </c>
      <c r="J7" s="214">
        <v>120</v>
      </c>
      <c r="K7" s="234"/>
      <c r="L7" s="234"/>
      <c r="M7" s="234"/>
      <c r="N7" s="220"/>
      <c r="O7" s="220"/>
      <c r="P7" s="22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</row>
    <row r="8" spans="1:16363" x14ac:dyDescent="0.25">
      <c r="A8" s="213" t="s">
        <v>32</v>
      </c>
      <c r="B8" s="213" t="s">
        <v>38</v>
      </c>
      <c r="C8" s="213" t="s">
        <v>434</v>
      </c>
      <c r="D8" s="189">
        <v>102953</v>
      </c>
      <c r="E8" s="213" t="s">
        <v>25</v>
      </c>
      <c r="F8" s="190" t="s">
        <v>27</v>
      </c>
      <c r="G8" s="191">
        <v>43784</v>
      </c>
      <c r="H8" s="191">
        <f>+G8+145</f>
        <v>43929</v>
      </c>
      <c r="I8" s="191">
        <f>+H8+90</f>
        <v>44019</v>
      </c>
      <c r="J8" s="214">
        <v>90</v>
      </c>
      <c r="K8" s="234"/>
      <c r="L8" s="234"/>
      <c r="M8" s="234"/>
      <c r="N8" s="220"/>
      <c r="O8" s="220"/>
      <c r="P8" s="2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</row>
    <row r="9" spans="1:16363" ht="25.5" x14ac:dyDescent="0.25">
      <c r="A9" s="213" t="s">
        <v>33</v>
      </c>
      <c r="B9" s="188" t="s">
        <v>39</v>
      </c>
      <c r="C9" s="213" t="s">
        <v>430</v>
      </c>
      <c r="D9" s="189">
        <v>4219944</v>
      </c>
      <c r="E9" s="213" t="s">
        <v>22</v>
      </c>
      <c r="F9" s="190" t="s">
        <v>23</v>
      </c>
      <c r="G9" s="191">
        <v>43363</v>
      </c>
      <c r="H9" s="191">
        <f>+G9+206</f>
        <v>43569</v>
      </c>
      <c r="I9" s="191">
        <f>+H9+120</f>
        <v>43689</v>
      </c>
      <c r="J9" s="214">
        <v>120</v>
      </c>
      <c r="K9" s="234"/>
      <c r="L9" s="234"/>
      <c r="M9" s="234"/>
      <c r="N9" s="220"/>
      <c r="O9" s="220"/>
      <c r="P9" s="2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</row>
    <row r="10" spans="1:16363" s="3" customFormat="1" ht="25.5" x14ac:dyDescent="0.25">
      <c r="A10" s="213" t="s">
        <v>34</v>
      </c>
      <c r="B10" s="188" t="s">
        <v>40</v>
      </c>
      <c r="C10" s="213" t="s">
        <v>430</v>
      </c>
      <c r="D10" s="189">
        <v>6329916</v>
      </c>
      <c r="E10" s="213" t="s">
        <v>22</v>
      </c>
      <c r="F10" s="190" t="s">
        <v>23</v>
      </c>
      <c r="G10" s="191">
        <v>43716</v>
      </c>
      <c r="H10" s="191">
        <f>+G10+206</f>
        <v>43922</v>
      </c>
      <c r="I10" s="191">
        <f>+H10+120</f>
        <v>44042</v>
      </c>
      <c r="J10" s="221">
        <v>120</v>
      </c>
      <c r="K10" s="234"/>
      <c r="L10" s="234"/>
      <c r="M10" s="234"/>
      <c r="N10" s="220"/>
      <c r="O10" s="220"/>
      <c r="P10" s="220"/>
    </row>
    <row r="11" spans="1:16363" s="3" customFormat="1" ht="25.5" x14ac:dyDescent="0.25">
      <c r="A11" s="213" t="s">
        <v>35</v>
      </c>
      <c r="B11" s="188" t="s">
        <v>436</v>
      </c>
      <c r="C11" s="213" t="s">
        <v>432</v>
      </c>
      <c r="D11" s="189">
        <v>1852892</v>
      </c>
      <c r="E11" s="213" t="s">
        <v>22</v>
      </c>
      <c r="F11" s="190" t="s">
        <v>427</v>
      </c>
      <c r="G11" s="191">
        <v>42788</v>
      </c>
      <c r="H11" s="191">
        <f>+G11+206</f>
        <v>42994</v>
      </c>
      <c r="I11" s="191">
        <f>+H11+120</f>
        <v>43114</v>
      </c>
      <c r="J11" s="221">
        <v>120</v>
      </c>
      <c r="K11" s="234"/>
      <c r="L11" s="234"/>
      <c r="M11" s="234"/>
      <c r="N11" s="220"/>
      <c r="O11" s="220"/>
      <c r="P11" s="220"/>
    </row>
    <row r="12" spans="1:16363" s="3" customFormat="1" ht="25.5" x14ac:dyDescent="0.25">
      <c r="A12" s="213" t="s">
        <v>36</v>
      </c>
      <c r="B12" s="188" t="s">
        <v>439</v>
      </c>
      <c r="C12" s="213" t="s">
        <v>432</v>
      </c>
      <c r="D12" s="189">
        <v>5220</v>
      </c>
      <c r="E12" s="213" t="s">
        <v>29</v>
      </c>
      <c r="F12" s="190" t="s">
        <v>427</v>
      </c>
      <c r="G12" s="191">
        <v>42783</v>
      </c>
      <c r="H12" s="191">
        <f>+G12+83</f>
        <v>42866</v>
      </c>
      <c r="I12" s="191">
        <f>+H12+45</f>
        <v>42911</v>
      </c>
      <c r="J12" s="221">
        <v>45</v>
      </c>
      <c r="K12" s="234"/>
      <c r="L12" s="234"/>
      <c r="M12" s="234"/>
      <c r="N12" s="220"/>
      <c r="O12" s="220"/>
      <c r="P12" s="220"/>
    </row>
    <row r="13" spans="1:16363" s="3" customFormat="1" ht="25.5" x14ac:dyDescent="0.25">
      <c r="A13" s="213" t="s">
        <v>37</v>
      </c>
      <c r="B13" s="188" t="s">
        <v>460</v>
      </c>
      <c r="C13" s="213" t="s">
        <v>432</v>
      </c>
      <c r="D13" s="189">
        <v>259200</v>
      </c>
      <c r="E13" s="213" t="s">
        <v>25</v>
      </c>
      <c r="F13" s="190" t="s">
        <v>427</v>
      </c>
      <c r="G13" s="191">
        <v>43059</v>
      </c>
      <c r="H13" s="191">
        <f>+G13+145</f>
        <v>43204</v>
      </c>
      <c r="I13" s="191">
        <f>+H13+J13</f>
        <v>43294</v>
      </c>
      <c r="J13" s="221">
        <v>90</v>
      </c>
      <c r="K13" s="234"/>
      <c r="L13" s="234"/>
      <c r="M13" s="234"/>
      <c r="N13" s="220"/>
      <c r="O13" s="220"/>
      <c r="P13" s="220"/>
    </row>
    <row r="14" spans="1:16363" s="3" customFormat="1" ht="25.5" x14ac:dyDescent="0.25">
      <c r="A14" s="213" t="s">
        <v>435</v>
      </c>
      <c r="B14" s="188" t="s">
        <v>437</v>
      </c>
      <c r="C14" s="213" t="s">
        <v>432</v>
      </c>
      <c r="D14" s="222">
        <v>2316115</v>
      </c>
      <c r="E14" s="213" t="s">
        <v>22</v>
      </c>
      <c r="F14" s="190" t="s">
        <v>427</v>
      </c>
      <c r="G14" s="191">
        <v>43153</v>
      </c>
      <c r="H14" s="191">
        <f>+G14+206</f>
        <v>43359</v>
      </c>
      <c r="I14" s="191">
        <f>+H14+120</f>
        <v>43479</v>
      </c>
      <c r="J14" s="221">
        <v>120</v>
      </c>
      <c r="K14" s="234"/>
      <c r="L14" s="234"/>
      <c r="M14" s="234"/>
      <c r="N14" s="220"/>
      <c r="O14" s="220"/>
      <c r="P14" s="220"/>
    </row>
    <row r="15" spans="1:16363" s="3" customFormat="1" ht="25.5" x14ac:dyDescent="0.25">
      <c r="A15" s="213" t="s">
        <v>441</v>
      </c>
      <c r="B15" s="188" t="s">
        <v>440</v>
      </c>
      <c r="C15" s="213" t="s">
        <v>432</v>
      </c>
      <c r="D15" s="222">
        <v>10440</v>
      </c>
      <c r="E15" s="213" t="s">
        <v>29</v>
      </c>
      <c r="F15" s="190" t="s">
        <v>427</v>
      </c>
      <c r="G15" s="191">
        <v>43148</v>
      </c>
      <c r="H15" s="191">
        <f>+G15+83</f>
        <v>43231</v>
      </c>
      <c r="I15" s="191">
        <f>+H15+J15</f>
        <v>43276</v>
      </c>
      <c r="J15" s="221">
        <v>45</v>
      </c>
      <c r="K15" s="234"/>
      <c r="L15" s="234"/>
      <c r="M15" s="234"/>
      <c r="N15" s="220"/>
      <c r="O15" s="220"/>
      <c r="P15" s="220"/>
    </row>
    <row r="16" spans="1:16363" s="3" customFormat="1" ht="25.5" x14ac:dyDescent="0.25">
      <c r="A16" s="213" t="s">
        <v>442</v>
      </c>
      <c r="B16" s="188" t="s">
        <v>461</v>
      </c>
      <c r="C16" s="213" t="s">
        <v>432</v>
      </c>
      <c r="D16" s="222">
        <v>518400</v>
      </c>
      <c r="E16" s="213" t="s">
        <v>22</v>
      </c>
      <c r="F16" s="190" t="s">
        <v>427</v>
      </c>
      <c r="G16" s="191">
        <v>43363</v>
      </c>
      <c r="H16" s="191">
        <f>+G16+206</f>
        <v>43569</v>
      </c>
      <c r="I16" s="191">
        <f>+H16+J16</f>
        <v>43689</v>
      </c>
      <c r="J16" s="221">
        <v>120</v>
      </c>
      <c r="K16" s="234"/>
      <c r="L16" s="234"/>
      <c r="M16" s="234"/>
      <c r="N16" s="220"/>
      <c r="O16" s="220"/>
      <c r="P16" s="220"/>
    </row>
    <row r="17" spans="1:16" s="3" customFormat="1" ht="25.5" x14ac:dyDescent="0.25">
      <c r="A17" s="213" t="s">
        <v>443</v>
      </c>
      <c r="B17" s="188" t="s">
        <v>459</v>
      </c>
      <c r="C17" s="213" t="s">
        <v>432</v>
      </c>
      <c r="D17" s="222">
        <v>13920</v>
      </c>
      <c r="E17" s="213" t="s">
        <v>29</v>
      </c>
      <c r="F17" s="190" t="s">
        <v>427</v>
      </c>
      <c r="G17" s="191">
        <v>43513</v>
      </c>
      <c r="H17" s="191">
        <f>+G17+83</f>
        <v>43596</v>
      </c>
      <c r="I17" s="191">
        <f>+H17+J17</f>
        <v>43641</v>
      </c>
      <c r="J17" s="221">
        <v>45</v>
      </c>
      <c r="K17" s="234"/>
      <c r="L17" s="234"/>
      <c r="M17" s="234"/>
      <c r="N17" s="220"/>
      <c r="O17" s="220"/>
      <c r="P17" s="220"/>
    </row>
    <row r="18" spans="1:16" s="3" customFormat="1" ht="25.5" x14ac:dyDescent="0.25">
      <c r="A18" s="213" t="s">
        <v>445</v>
      </c>
      <c r="B18" s="188" t="s">
        <v>438</v>
      </c>
      <c r="C18" s="213" t="s">
        <v>432</v>
      </c>
      <c r="D18" s="222">
        <v>3010949</v>
      </c>
      <c r="E18" s="213" t="s">
        <v>22</v>
      </c>
      <c r="F18" s="190" t="s">
        <v>427</v>
      </c>
      <c r="G18" s="191">
        <v>43406</v>
      </c>
      <c r="H18" s="191">
        <f>+G18+206</f>
        <v>43612</v>
      </c>
      <c r="I18" s="191">
        <f>+H18+120</f>
        <v>43732</v>
      </c>
      <c r="J18" s="221">
        <v>120</v>
      </c>
      <c r="K18" s="234"/>
      <c r="L18" s="234"/>
      <c r="M18" s="234"/>
      <c r="N18" s="220"/>
      <c r="O18" s="220"/>
      <c r="P18" s="220"/>
    </row>
    <row r="19" spans="1:16" x14ac:dyDescent="0.25">
      <c r="E19" s="181"/>
    </row>
  </sheetData>
  <pageMargins left="0.19" right="0.2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Normal="100" zoomScaleSheetLayoutView="100" workbookViewId="0">
      <selection activeCell="A6" sqref="A6"/>
    </sheetView>
  </sheetViews>
  <sheetFormatPr defaultColWidth="11.42578125" defaultRowHeight="15" x14ac:dyDescent="0.25"/>
  <cols>
    <col min="1" max="1" width="11.28515625" style="1" bestFit="1" customWidth="1"/>
    <col min="2" max="2" width="31.7109375" style="1" bestFit="1" customWidth="1"/>
    <col min="3" max="3" width="16.28515625" style="1" bestFit="1" customWidth="1"/>
    <col min="4" max="4" width="15.28515625" style="1" customWidth="1"/>
    <col min="5" max="5" width="12.28515625" style="1" bestFit="1" customWidth="1"/>
    <col min="6" max="6" width="11.42578125" style="1" customWidth="1"/>
    <col min="7" max="8" width="12.140625" style="1" bestFit="1" customWidth="1"/>
    <col min="9" max="9" width="15" style="1" bestFit="1" customWidth="1"/>
    <col min="10" max="10" width="5.140625" style="1" bestFit="1" customWidth="1"/>
    <col min="11" max="16384" width="11.42578125" style="1"/>
  </cols>
  <sheetData>
    <row r="1" spans="1:16" customFormat="1" ht="25.5" x14ac:dyDescent="0.25">
      <c r="A1" s="194" t="s">
        <v>13</v>
      </c>
      <c r="B1" s="194" t="s">
        <v>14</v>
      </c>
      <c r="C1" s="192" t="s">
        <v>429</v>
      </c>
      <c r="D1" s="194" t="s">
        <v>15</v>
      </c>
      <c r="E1" s="194" t="s">
        <v>16</v>
      </c>
      <c r="F1" s="194" t="s">
        <v>17</v>
      </c>
      <c r="G1" s="194" t="s">
        <v>18</v>
      </c>
      <c r="H1" s="194" t="s">
        <v>19</v>
      </c>
      <c r="I1" s="194" t="s">
        <v>20</v>
      </c>
      <c r="J1" s="214"/>
    </row>
    <row r="2" spans="1:16" x14ac:dyDescent="0.25">
      <c r="A2" s="213" t="s">
        <v>41</v>
      </c>
      <c r="B2" s="213" t="s">
        <v>42</v>
      </c>
      <c r="C2" s="213" t="s">
        <v>432</v>
      </c>
      <c r="D2" s="215">
        <v>422000</v>
      </c>
      <c r="E2" s="213" t="s">
        <v>25</v>
      </c>
      <c r="F2" s="190" t="s">
        <v>27</v>
      </c>
      <c r="G2" s="191">
        <v>42694</v>
      </c>
      <c r="H2" s="191">
        <f>+G2+145</f>
        <v>42839</v>
      </c>
      <c r="I2" s="191">
        <f>+H2+J2</f>
        <v>42959</v>
      </c>
      <c r="J2" s="214">
        <v>120</v>
      </c>
      <c r="K2" s="216"/>
      <c r="L2" s="216"/>
      <c r="M2" s="216"/>
      <c r="N2" s="220"/>
      <c r="O2" s="220"/>
      <c r="P2" s="220"/>
    </row>
    <row r="3" spans="1:16" x14ac:dyDescent="0.25">
      <c r="A3" s="213" t="s">
        <v>45</v>
      </c>
      <c r="B3" s="213" t="s">
        <v>43</v>
      </c>
      <c r="C3" s="213" t="s">
        <v>432</v>
      </c>
      <c r="D3" s="215">
        <v>528400</v>
      </c>
      <c r="E3" s="213" t="s">
        <v>22</v>
      </c>
      <c r="F3" s="190" t="s">
        <v>23</v>
      </c>
      <c r="G3" s="191">
        <v>43007</v>
      </c>
      <c r="H3" s="191">
        <f>+G3+206</f>
        <v>43213</v>
      </c>
      <c r="I3" s="191">
        <f>+H3+J3</f>
        <v>43333</v>
      </c>
      <c r="J3" s="214">
        <v>120</v>
      </c>
      <c r="K3" s="216"/>
      <c r="L3" s="216"/>
      <c r="M3" s="216"/>
      <c r="N3" s="220"/>
      <c r="O3" s="220"/>
      <c r="P3" s="220"/>
    </row>
    <row r="4" spans="1:16" x14ac:dyDescent="0.25">
      <c r="A4" s="213" t="s">
        <v>46</v>
      </c>
      <c r="B4" s="213" t="s">
        <v>44</v>
      </c>
      <c r="C4" s="213" t="s">
        <v>432</v>
      </c>
      <c r="D4" s="215">
        <v>581560</v>
      </c>
      <c r="E4" s="213" t="s">
        <v>22</v>
      </c>
      <c r="F4" s="190" t="s">
        <v>23</v>
      </c>
      <c r="G4" s="191">
        <v>43372</v>
      </c>
      <c r="H4" s="191">
        <f>+G4+206</f>
        <v>43578</v>
      </c>
      <c r="I4" s="191">
        <f>+H4+J4</f>
        <v>43698</v>
      </c>
      <c r="J4" s="214">
        <v>120</v>
      </c>
      <c r="K4" s="216"/>
      <c r="L4" s="216"/>
      <c r="M4" s="216"/>
      <c r="N4" s="220"/>
      <c r="O4" s="220"/>
      <c r="P4" s="220"/>
    </row>
    <row r="5" spans="1:16" x14ac:dyDescent="0.25">
      <c r="A5" s="213" t="s">
        <v>47</v>
      </c>
      <c r="B5" s="213" t="s">
        <v>455</v>
      </c>
      <c r="C5" s="213" t="s">
        <v>432</v>
      </c>
      <c r="D5" s="215">
        <v>30000</v>
      </c>
      <c r="E5" s="213" t="s">
        <v>29</v>
      </c>
      <c r="F5" s="190" t="s">
        <v>27</v>
      </c>
      <c r="G5" s="191">
        <v>42940</v>
      </c>
      <c r="H5" s="191">
        <f>+G5+83</f>
        <v>43023</v>
      </c>
      <c r="I5" s="191">
        <f>+H5+60</f>
        <v>43083</v>
      </c>
      <c r="J5" s="214">
        <v>60</v>
      </c>
      <c r="K5" s="216"/>
      <c r="L5" s="216"/>
      <c r="M5" s="216"/>
      <c r="N5" s="220"/>
      <c r="O5" s="220"/>
      <c r="P5" s="220"/>
    </row>
    <row r="6" spans="1:16" x14ac:dyDescent="0.25">
      <c r="A6" s="213" t="s">
        <v>48</v>
      </c>
      <c r="B6" s="213" t="s">
        <v>456</v>
      </c>
      <c r="C6" s="213" t="s">
        <v>432</v>
      </c>
      <c r="D6" s="215">
        <v>50000</v>
      </c>
      <c r="E6" s="213" t="s">
        <v>29</v>
      </c>
      <c r="F6" s="190" t="s">
        <v>27</v>
      </c>
      <c r="G6" s="191">
        <v>43214</v>
      </c>
      <c r="H6" s="191">
        <f>+G6+83</f>
        <v>43297</v>
      </c>
      <c r="I6" s="191">
        <f>+H6+60</f>
        <v>43357</v>
      </c>
      <c r="J6" s="214">
        <v>60</v>
      </c>
      <c r="K6" s="216"/>
      <c r="L6" s="216"/>
      <c r="M6" s="216"/>
      <c r="N6" s="220"/>
      <c r="O6" s="220"/>
      <c r="P6" s="220"/>
    </row>
    <row r="7" spans="1:16" x14ac:dyDescent="0.25">
      <c r="A7" s="213" t="s">
        <v>49</v>
      </c>
      <c r="B7" s="213" t="s">
        <v>55</v>
      </c>
      <c r="C7" s="213" t="s">
        <v>433</v>
      </c>
      <c r="D7" s="215">
        <f>222670-20000</f>
        <v>202670</v>
      </c>
      <c r="E7" s="213" t="s">
        <v>25</v>
      </c>
      <c r="F7" s="190" t="s">
        <v>27</v>
      </c>
      <c r="G7" s="191">
        <v>42738</v>
      </c>
      <c r="H7" s="191">
        <f>+G7+145</f>
        <v>42883</v>
      </c>
      <c r="I7" s="191">
        <f t="shared" ref="I7:I17" si="0">+H7+J7</f>
        <v>43003</v>
      </c>
      <c r="J7" s="214">
        <v>120</v>
      </c>
      <c r="K7" s="216"/>
      <c r="L7" s="216"/>
      <c r="M7" s="216"/>
      <c r="N7" s="220"/>
      <c r="O7" s="220"/>
      <c r="P7" s="220"/>
    </row>
    <row r="8" spans="1:16" x14ac:dyDescent="0.25">
      <c r="A8" s="213" t="s">
        <v>50</v>
      </c>
      <c r="B8" s="213" t="s">
        <v>56</v>
      </c>
      <c r="C8" s="213" t="s">
        <v>433</v>
      </c>
      <c r="D8" s="215">
        <f>263204-20000</f>
        <v>243204</v>
      </c>
      <c r="E8" s="213" t="s">
        <v>25</v>
      </c>
      <c r="F8" s="190" t="s">
        <v>27</v>
      </c>
      <c r="G8" s="191">
        <v>43054</v>
      </c>
      <c r="H8" s="191">
        <f>+G8+145</f>
        <v>43199</v>
      </c>
      <c r="I8" s="191">
        <f t="shared" si="0"/>
        <v>43319</v>
      </c>
      <c r="J8" s="214">
        <v>120</v>
      </c>
      <c r="K8" s="216"/>
      <c r="L8" s="216"/>
      <c r="M8" s="216"/>
      <c r="N8" s="220"/>
      <c r="O8" s="220"/>
      <c r="P8" s="220"/>
    </row>
    <row r="9" spans="1:16" x14ac:dyDescent="0.25">
      <c r="A9" s="213" t="s">
        <v>51</v>
      </c>
      <c r="B9" s="213" t="s">
        <v>57</v>
      </c>
      <c r="C9" s="213" t="s">
        <v>433</v>
      </c>
      <c r="D9" s="215">
        <f>331552-20000</f>
        <v>311552</v>
      </c>
      <c r="E9" s="213" t="s">
        <v>25</v>
      </c>
      <c r="F9" s="190" t="s">
        <v>27</v>
      </c>
      <c r="G9" s="191">
        <v>43419</v>
      </c>
      <c r="H9" s="191">
        <f>+G9+145</f>
        <v>43564</v>
      </c>
      <c r="I9" s="191">
        <f t="shared" si="0"/>
        <v>43684</v>
      </c>
      <c r="J9" s="214">
        <v>120</v>
      </c>
      <c r="K9" s="216"/>
      <c r="L9" s="216"/>
      <c r="M9" s="216"/>
      <c r="N9" s="220"/>
      <c r="O9" s="220"/>
      <c r="P9" s="220"/>
    </row>
    <row r="10" spans="1:16" ht="25.5" x14ac:dyDescent="0.25">
      <c r="A10" s="213" t="s">
        <v>52</v>
      </c>
      <c r="B10" s="188" t="s">
        <v>446</v>
      </c>
      <c r="C10" s="213" t="s">
        <v>433</v>
      </c>
      <c r="D10" s="215">
        <v>20000</v>
      </c>
      <c r="E10" s="213" t="s">
        <v>29</v>
      </c>
      <c r="F10" s="190" t="s">
        <v>27</v>
      </c>
      <c r="G10" s="191">
        <v>42807</v>
      </c>
      <c r="H10" s="191">
        <f t="shared" ref="H10:H15" si="1">+G10+83</f>
        <v>42890</v>
      </c>
      <c r="I10" s="191">
        <f t="shared" si="0"/>
        <v>42950</v>
      </c>
      <c r="J10" s="214">
        <v>60</v>
      </c>
      <c r="K10" s="216"/>
      <c r="L10" s="216"/>
      <c r="M10" s="216"/>
      <c r="N10" s="220"/>
      <c r="O10" s="220"/>
      <c r="P10" s="220"/>
    </row>
    <row r="11" spans="1:16" ht="25.5" x14ac:dyDescent="0.25">
      <c r="A11" s="213" t="s">
        <v>53</v>
      </c>
      <c r="B11" s="188" t="s">
        <v>462</v>
      </c>
      <c r="C11" s="213" t="s">
        <v>433</v>
      </c>
      <c r="D11" s="215">
        <v>20000</v>
      </c>
      <c r="E11" s="213" t="s">
        <v>29</v>
      </c>
      <c r="F11" s="190" t="s">
        <v>27</v>
      </c>
      <c r="G11" s="191">
        <v>43115</v>
      </c>
      <c r="H11" s="191">
        <f t="shared" si="1"/>
        <v>43198</v>
      </c>
      <c r="I11" s="191">
        <f t="shared" si="0"/>
        <v>43258</v>
      </c>
      <c r="J11" s="221">
        <v>60</v>
      </c>
      <c r="K11" s="216"/>
      <c r="L11" s="216"/>
      <c r="M11" s="216"/>
      <c r="N11" s="220"/>
      <c r="O11" s="220"/>
      <c r="P11" s="220"/>
    </row>
    <row r="12" spans="1:16" ht="25.5" x14ac:dyDescent="0.25">
      <c r="A12" s="213" t="s">
        <v>54</v>
      </c>
      <c r="B12" s="188" t="s">
        <v>463</v>
      </c>
      <c r="C12" s="213" t="s">
        <v>433</v>
      </c>
      <c r="D12" s="215">
        <v>20000</v>
      </c>
      <c r="E12" s="213" t="s">
        <v>29</v>
      </c>
      <c r="F12" s="190" t="s">
        <v>27</v>
      </c>
      <c r="G12" s="191">
        <v>43475</v>
      </c>
      <c r="H12" s="191">
        <f t="shared" si="1"/>
        <v>43558</v>
      </c>
      <c r="I12" s="191">
        <f t="shared" si="0"/>
        <v>43618</v>
      </c>
      <c r="J12" s="221">
        <v>60</v>
      </c>
      <c r="K12" s="216"/>
      <c r="L12" s="216"/>
      <c r="M12" s="216"/>
      <c r="N12" s="220"/>
      <c r="O12" s="220"/>
      <c r="P12" s="220"/>
    </row>
    <row r="13" spans="1:16" ht="25.5" x14ac:dyDescent="0.25">
      <c r="A13" s="213" t="s">
        <v>447</v>
      </c>
      <c r="B13" s="188" t="s">
        <v>58</v>
      </c>
      <c r="C13" s="213" t="s">
        <v>430</v>
      </c>
      <c r="D13" s="215">
        <v>62350</v>
      </c>
      <c r="E13" s="213" t="s">
        <v>29</v>
      </c>
      <c r="F13" s="190" t="s">
        <v>27</v>
      </c>
      <c r="G13" s="191">
        <v>42689</v>
      </c>
      <c r="H13" s="191">
        <f t="shared" si="1"/>
        <v>42772</v>
      </c>
      <c r="I13" s="191">
        <f t="shared" si="0"/>
        <v>42892</v>
      </c>
      <c r="J13" s="214">
        <v>120</v>
      </c>
      <c r="K13" s="216"/>
      <c r="L13" s="216"/>
      <c r="M13" s="216"/>
      <c r="N13" s="220"/>
      <c r="O13" s="220"/>
      <c r="P13" s="220"/>
    </row>
    <row r="14" spans="1:16" ht="25.5" x14ac:dyDescent="0.25">
      <c r="A14" s="213" t="s">
        <v>448</v>
      </c>
      <c r="B14" s="188" t="s">
        <v>59</v>
      </c>
      <c r="C14" s="213" t="s">
        <v>430</v>
      </c>
      <c r="D14" s="215">
        <v>65468</v>
      </c>
      <c r="E14" s="213" t="s">
        <v>29</v>
      </c>
      <c r="F14" s="190" t="s">
        <v>27</v>
      </c>
      <c r="G14" s="191">
        <v>43114</v>
      </c>
      <c r="H14" s="191">
        <f t="shared" si="1"/>
        <v>43197</v>
      </c>
      <c r="I14" s="191">
        <f t="shared" si="0"/>
        <v>43317</v>
      </c>
      <c r="J14" s="214">
        <v>120</v>
      </c>
      <c r="K14" s="216"/>
      <c r="L14" s="216"/>
      <c r="M14" s="216"/>
      <c r="N14" s="220"/>
      <c r="O14" s="220"/>
      <c r="P14" s="220"/>
    </row>
    <row r="15" spans="1:16" ht="25.5" x14ac:dyDescent="0.25">
      <c r="A15" s="213" t="s">
        <v>449</v>
      </c>
      <c r="B15" s="188" t="s">
        <v>465</v>
      </c>
      <c r="C15" s="213" t="s">
        <v>430</v>
      </c>
      <c r="D15" s="215">
        <v>68741</v>
      </c>
      <c r="E15" s="213" t="s">
        <v>29</v>
      </c>
      <c r="F15" s="190" t="s">
        <v>27</v>
      </c>
      <c r="G15" s="191">
        <v>43479</v>
      </c>
      <c r="H15" s="191">
        <f t="shared" si="1"/>
        <v>43562</v>
      </c>
      <c r="I15" s="191">
        <f t="shared" si="0"/>
        <v>43682</v>
      </c>
      <c r="J15" s="214">
        <v>120</v>
      </c>
      <c r="K15" s="216"/>
      <c r="L15" s="216"/>
      <c r="M15" s="216"/>
      <c r="N15" s="220"/>
      <c r="O15" s="220"/>
      <c r="P15" s="220"/>
    </row>
    <row r="16" spans="1:16" ht="25.5" x14ac:dyDescent="0.25">
      <c r="A16" s="213" t="s">
        <v>453</v>
      </c>
      <c r="B16" s="188" t="s">
        <v>9</v>
      </c>
      <c r="C16" s="213" t="s">
        <v>430</v>
      </c>
      <c r="D16" s="215">
        <v>400000</v>
      </c>
      <c r="E16" s="213" t="s">
        <v>25</v>
      </c>
      <c r="F16" s="190" t="s">
        <v>27</v>
      </c>
      <c r="G16" s="191">
        <v>42669</v>
      </c>
      <c r="H16" s="191">
        <f>+G16+145</f>
        <v>42814</v>
      </c>
      <c r="I16" s="191">
        <f t="shared" si="0"/>
        <v>43144</v>
      </c>
      <c r="J16" s="214">
        <v>330</v>
      </c>
      <c r="K16" s="216"/>
      <c r="L16" s="216"/>
      <c r="M16" s="216"/>
      <c r="N16" s="220"/>
      <c r="O16" s="220"/>
      <c r="P16" s="220"/>
    </row>
    <row r="17" spans="1:16" ht="25.5" x14ac:dyDescent="0.25">
      <c r="A17" s="213" t="s">
        <v>454</v>
      </c>
      <c r="B17" s="188" t="s">
        <v>10</v>
      </c>
      <c r="C17" s="213" t="s">
        <v>430</v>
      </c>
      <c r="D17" s="215">
        <v>502200</v>
      </c>
      <c r="E17" s="213" t="s">
        <v>22</v>
      </c>
      <c r="F17" s="190" t="s">
        <v>23</v>
      </c>
      <c r="G17" s="191">
        <v>43103</v>
      </c>
      <c r="H17" s="191">
        <f>+G17+206</f>
        <v>43309</v>
      </c>
      <c r="I17" s="191">
        <f t="shared" si="0"/>
        <v>43639</v>
      </c>
      <c r="J17" s="214">
        <v>330</v>
      </c>
      <c r="K17" s="216"/>
      <c r="L17" s="216"/>
      <c r="M17" s="216"/>
      <c r="N17" s="220"/>
      <c r="O17" s="220"/>
      <c r="P17" s="220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"/>
  <sheetViews>
    <sheetView view="pageBreakPreview" zoomScaleNormal="100" zoomScaleSheetLayoutView="100" workbookViewId="0">
      <selection activeCell="G5" sqref="G5"/>
    </sheetView>
  </sheetViews>
  <sheetFormatPr defaultColWidth="11.42578125" defaultRowHeight="15" x14ac:dyDescent="0.25"/>
  <cols>
    <col min="1" max="1" width="11.28515625" style="1" bestFit="1" customWidth="1"/>
    <col min="2" max="2" width="32.85546875" style="1" bestFit="1" customWidth="1"/>
    <col min="3" max="3" width="12.5703125" style="1" bestFit="1" customWidth="1"/>
    <col min="4" max="4" width="14.140625" style="1" bestFit="1" customWidth="1"/>
    <col min="5" max="5" width="14.85546875" style="1" customWidth="1"/>
    <col min="6" max="6" width="11" style="1" customWidth="1"/>
    <col min="7" max="7" width="12" style="1" bestFit="1" customWidth="1"/>
    <col min="8" max="8" width="11.85546875" style="1" bestFit="1" customWidth="1"/>
    <col min="9" max="9" width="12.140625" style="1" bestFit="1" customWidth="1"/>
    <col min="10" max="10" width="5.28515625" style="1" bestFit="1" customWidth="1"/>
    <col min="11" max="16384" width="11.42578125" style="1"/>
  </cols>
  <sheetData>
    <row r="1" spans="1:16383" s="10" customFormat="1" ht="25.5" x14ac:dyDescent="0.25">
      <c r="A1" s="194" t="s">
        <v>13</v>
      </c>
      <c r="B1" s="194" t="s">
        <v>14</v>
      </c>
      <c r="C1" s="192" t="s">
        <v>429</v>
      </c>
      <c r="D1" s="194" t="s">
        <v>15</v>
      </c>
      <c r="E1" s="194" t="s">
        <v>16</v>
      </c>
      <c r="F1" s="194" t="s">
        <v>17</v>
      </c>
      <c r="G1" s="194" t="s">
        <v>18</v>
      </c>
      <c r="H1" s="194" t="s">
        <v>19</v>
      </c>
      <c r="I1" s="194" t="s">
        <v>20</v>
      </c>
    </row>
    <row r="2" spans="1:16383" ht="25.5" x14ac:dyDescent="0.25">
      <c r="A2" s="210" t="s">
        <v>60</v>
      </c>
      <c r="B2" s="210" t="s">
        <v>468</v>
      </c>
      <c r="C2" s="210" t="s">
        <v>432</v>
      </c>
      <c r="D2" s="217">
        <v>35000</v>
      </c>
      <c r="E2" s="211" t="s">
        <v>469</v>
      </c>
      <c r="F2" s="210" t="s">
        <v>27</v>
      </c>
      <c r="G2" s="218">
        <v>42781</v>
      </c>
      <c r="H2" s="218">
        <f>+G2+179</f>
        <v>42960</v>
      </c>
      <c r="I2" s="219">
        <f t="shared" ref="I2:I8" si="0">+H2+J2</f>
        <v>43050</v>
      </c>
      <c r="J2" s="1">
        <v>90</v>
      </c>
      <c r="K2" s="216"/>
      <c r="L2" s="216"/>
      <c r="M2" s="216"/>
      <c r="N2" s="220"/>
      <c r="O2" s="220"/>
      <c r="P2" s="220"/>
    </row>
    <row r="3" spans="1:16383" ht="25.5" x14ac:dyDescent="0.25">
      <c r="A3" s="210" t="s">
        <v>61</v>
      </c>
      <c r="B3" s="210" t="s">
        <v>1</v>
      </c>
      <c r="C3" s="210" t="s">
        <v>432</v>
      </c>
      <c r="D3" s="217">
        <v>34000</v>
      </c>
      <c r="E3" s="211" t="s">
        <v>469</v>
      </c>
      <c r="F3" s="210" t="s">
        <v>27</v>
      </c>
      <c r="G3" s="218">
        <v>42784</v>
      </c>
      <c r="H3" s="218">
        <f>+G3+179</f>
        <v>42963</v>
      </c>
      <c r="I3" s="219">
        <f t="shared" si="0"/>
        <v>43173</v>
      </c>
      <c r="J3" s="1">
        <v>210</v>
      </c>
      <c r="K3" s="216"/>
      <c r="L3" s="216"/>
      <c r="M3" s="216"/>
      <c r="N3" s="220"/>
      <c r="O3" s="220"/>
      <c r="P3" s="220"/>
    </row>
    <row r="4" spans="1:16383" ht="25.5" x14ac:dyDescent="0.25">
      <c r="A4" s="210" t="s">
        <v>62</v>
      </c>
      <c r="B4" s="210" t="s">
        <v>457</v>
      </c>
      <c r="C4" s="210" t="s">
        <v>432</v>
      </c>
      <c r="D4" s="217">
        <v>45000</v>
      </c>
      <c r="E4" s="211" t="s">
        <v>70</v>
      </c>
      <c r="F4" s="210" t="s">
        <v>27</v>
      </c>
      <c r="G4" s="218">
        <v>42701</v>
      </c>
      <c r="H4" s="218">
        <f>+G4+197</f>
        <v>42898</v>
      </c>
      <c r="I4" s="219">
        <f t="shared" si="0"/>
        <v>42988</v>
      </c>
      <c r="J4" s="1">
        <v>90</v>
      </c>
      <c r="K4" s="216"/>
      <c r="L4" s="216"/>
      <c r="M4" s="216"/>
      <c r="N4" s="220"/>
      <c r="O4" s="220"/>
      <c r="P4" s="220"/>
    </row>
    <row r="5" spans="1:16383" ht="38.25" x14ac:dyDescent="0.25">
      <c r="A5" s="210" t="s">
        <v>63</v>
      </c>
      <c r="B5" s="210" t="s">
        <v>458</v>
      </c>
      <c r="C5" s="210" t="s">
        <v>432</v>
      </c>
      <c r="D5" s="217">
        <v>45000</v>
      </c>
      <c r="E5" s="211" t="s">
        <v>70</v>
      </c>
      <c r="F5" s="210" t="s">
        <v>27</v>
      </c>
      <c r="G5" s="218">
        <v>42793</v>
      </c>
      <c r="H5" s="218">
        <f>+G5+197</f>
        <v>42990</v>
      </c>
      <c r="I5" s="219">
        <f t="shared" si="0"/>
        <v>43080</v>
      </c>
      <c r="J5" s="1">
        <v>90</v>
      </c>
      <c r="K5" s="216"/>
      <c r="L5" s="216"/>
      <c r="M5" s="216"/>
      <c r="N5" s="220"/>
      <c r="O5" s="220"/>
      <c r="P5" s="220"/>
    </row>
    <row r="6" spans="1:16383" ht="27.6" x14ac:dyDescent="0.3">
      <c r="A6" s="210" t="s">
        <v>64</v>
      </c>
      <c r="B6" s="210" t="s">
        <v>2</v>
      </c>
      <c r="C6" s="210" t="s">
        <v>433</v>
      </c>
      <c r="D6" s="217">
        <v>570000</v>
      </c>
      <c r="E6" s="211" t="s">
        <v>470</v>
      </c>
      <c r="F6" s="210" t="s">
        <v>23</v>
      </c>
      <c r="G6" s="218">
        <v>42824</v>
      </c>
      <c r="H6" s="218">
        <f>+G6+90</f>
        <v>42914</v>
      </c>
      <c r="I6" s="219">
        <f t="shared" si="0"/>
        <v>43094</v>
      </c>
      <c r="J6" s="1">
        <v>180</v>
      </c>
      <c r="K6" s="216"/>
      <c r="L6" s="216"/>
      <c r="M6" s="216"/>
      <c r="N6" s="220"/>
      <c r="O6" s="220"/>
      <c r="P6" s="220"/>
    </row>
    <row r="7" spans="1:16383" s="3" customFormat="1" x14ac:dyDescent="0.25">
      <c r="A7" s="210" t="s">
        <v>65</v>
      </c>
      <c r="B7" s="210" t="s">
        <v>471</v>
      </c>
      <c r="C7" s="210" t="s">
        <v>433</v>
      </c>
      <c r="D7" s="217">
        <v>230546</v>
      </c>
      <c r="E7" s="211" t="s">
        <v>70</v>
      </c>
      <c r="F7" s="210" t="s">
        <v>27</v>
      </c>
      <c r="G7" s="218">
        <v>43008</v>
      </c>
      <c r="H7" s="218">
        <f>+G7+197</f>
        <v>43205</v>
      </c>
      <c r="I7" s="219">
        <f t="shared" si="0"/>
        <v>43295</v>
      </c>
      <c r="J7" s="3">
        <v>90</v>
      </c>
      <c r="K7" s="234"/>
      <c r="L7" s="234"/>
      <c r="M7" s="234"/>
      <c r="N7" s="220"/>
      <c r="O7" s="220"/>
      <c r="P7" s="220"/>
    </row>
    <row r="8" spans="1:16383" ht="25.5" x14ac:dyDescent="0.25">
      <c r="A8" s="210" t="s">
        <v>66</v>
      </c>
      <c r="B8" s="210" t="s">
        <v>472</v>
      </c>
      <c r="C8" s="210" t="s">
        <v>433</v>
      </c>
      <c r="D8" s="217">
        <v>208000</v>
      </c>
      <c r="E8" s="211" t="s">
        <v>70</v>
      </c>
      <c r="F8" s="210" t="s">
        <v>27</v>
      </c>
      <c r="G8" s="218">
        <v>43404</v>
      </c>
      <c r="H8" s="218">
        <f>+G8+197</f>
        <v>43601</v>
      </c>
      <c r="I8" s="219">
        <f t="shared" si="0"/>
        <v>43691</v>
      </c>
      <c r="J8" s="1">
        <v>90</v>
      </c>
      <c r="K8" s="216"/>
      <c r="L8" s="216"/>
      <c r="M8" s="216"/>
      <c r="N8" s="220"/>
      <c r="O8" s="220"/>
      <c r="P8" s="22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pans="1:16383" x14ac:dyDescent="0.25">
      <c r="A9" s="210" t="s">
        <v>67</v>
      </c>
      <c r="B9" s="210" t="s">
        <v>473</v>
      </c>
      <c r="C9" s="210" t="s">
        <v>433</v>
      </c>
      <c r="D9" s="217">
        <v>2158230.6266666665</v>
      </c>
      <c r="E9" s="211" t="s">
        <v>70</v>
      </c>
      <c r="F9" s="210" t="s">
        <v>23</v>
      </c>
      <c r="G9" s="218">
        <v>42750</v>
      </c>
      <c r="H9" s="218">
        <f>+G9+225</f>
        <v>42975</v>
      </c>
      <c r="I9" s="219">
        <v>43875</v>
      </c>
      <c r="K9" s="216"/>
      <c r="L9" s="216"/>
      <c r="M9" s="216"/>
      <c r="N9" s="220"/>
      <c r="O9" s="220"/>
      <c r="P9" s="22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pans="1:16383" ht="38.25" x14ac:dyDescent="0.25">
      <c r="A10" s="210" t="s">
        <v>68</v>
      </c>
      <c r="B10" s="210" t="s">
        <v>451</v>
      </c>
      <c r="C10" s="210" t="s">
        <v>430</v>
      </c>
      <c r="D10" s="217">
        <v>45000</v>
      </c>
      <c r="E10" s="211" t="s">
        <v>70</v>
      </c>
      <c r="F10" s="210" t="s">
        <v>27</v>
      </c>
      <c r="G10" s="218">
        <v>42698</v>
      </c>
      <c r="H10" s="218">
        <f>+G10+197</f>
        <v>42895</v>
      </c>
      <c r="I10" s="219">
        <f>+H10+J10</f>
        <v>42985</v>
      </c>
      <c r="J10" s="1">
        <v>90</v>
      </c>
      <c r="K10" s="216"/>
      <c r="L10" s="216"/>
      <c r="M10" s="216"/>
      <c r="N10" s="220"/>
      <c r="O10" s="220"/>
      <c r="P10" s="22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pans="1:16383" ht="51" x14ac:dyDescent="0.25">
      <c r="A11" s="210" t="s">
        <v>69</v>
      </c>
      <c r="B11" s="210" t="s">
        <v>452</v>
      </c>
      <c r="C11" s="210" t="s">
        <v>430</v>
      </c>
      <c r="D11" s="217">
        <v>250000</v>
      </c>
      <c r="E11" s="211" t="s">
        <v>70</v>
      </c>
      <c r="F11" s="210" t="s">
        <v>27</v>
      </c>
      <c r="G11" s="218">
        <v>43327</v>
      </c>
      <c r="H11" s="218">
        <f>+G11+197</f>
        <v>43524</v>
      </c>
      <c r="I11" s="219">
        <f>+H11+J11</f>
        <v>43734</v>
      </c>
      <c r="J11" s="1">
        <v>210</v>
      </c>
      <c r="K11" s="216"/>
      <c r="L11" s="216"/>
      <c r="M11" s="216"/>
      <c r="N11" s="220"/>
      <c r="O11" s="220"/>
      <c r="P11" s="22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pans="1:16383" x14ac:dyDescent="0.25">
      <c r="A12" s="210" t="s">
        <v>450</v>
      </c>
      <c r="B12" s="210" t="s">
        <v>466</v>
      </c>
      <c r="C12" s="210" t="s">
        <v>434</v>
      </c>
      <c r="D12" s="217">
        <v>742410</v>
      </c>
      <c r="E12" s="211" t="s">
        <v>70</v>
      </c>
      <c r="F12" s="210" t="s">
        <v>23</v>
      </c>
      <c r="G12" s="218">
        <v>42880</v>
      </c>
      <c r="H12" s="218">
        <f>+G12+225</f>
        <v>43105</v>
      </c>
      <c r="I12" s="219">
        <v>43856</v>
      </c>
      <c r="K12" s="216"/>
      <c r="L12" s="216"/>
      <c r="M12" s="216"/>
      <c r="N12" s="220"/>
      <c r="O12" s="220"/>
      <c r="P12" s="2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pans="1:16383" ht="14.45" x14ac:dyDescent="0.3">
      <c r="D13" s="18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P276"/>
  <sheetViews>
    <sheetView view="pageBreakPreview" topLeftCell="A4" zoomScaleNormal="100" zoomScaleSheetLayoutView="100" workbookViewId="0">
      <selection activeCell="A251" sqref="A251:XFD251"/>
    </sheetView>
  </sheetViews>
  <sheetFormatPr defaultColWidth="11.42578125" defaultRowHeight="15" x14ac:dyDescent="0.25"/>
  <cols>
    <col min="1" max="1" width="11.42578125" style="1" customWidth="1"/>
    <col min="2" max="2" width="51.140625" style="10" customWidth="1"/>
    <col min="3" max="3" width="35.140625" style="10" customWidth="1"/>
    <col min="4" max="4" width="23.85546875" style="10" customWidth="1"/>
    <col min="5" max="5" width="16.140625" style="10" bestFit="1" customWidth="1"/>
    <col min="6" max="6" width="10.140625" style="11" customWidth="1"/>
    <col min="7" max="8" width="13.85546875" style="12" hidden="1" customWidth="1"/>
    <col min="9" max="9" width="11" style="1" bestFit="1" customWidth="1"/>
    <col min="10" max="10" width="12.42578125" style="1" bestFit="1" customWidth="1"/>
    <col min="11" max="11" width="11.85546875" style="1" bestFit="1" customWidth="1"/>
    <col min="12" max="12" width="11" style="1" bestFit="1" customWidth="1"/>
    <col min="13" max="13" width="12.42578125" style="1" bestFit="1" customWidth="1"/>
    <col min="14" max="14" width="11.85546875" style="1" bestFit="1" customWidth="1"/>
    <col min="15" max="15" width="11" style="1" bestFit="1" customWidth="1"/>
    <col min="16" max="16" width="12.42578125" style="1" bestFit="1" customWidth="1"/>
    <col min="17" max="17" width="11.85546875" style="1" bestFit="1" customWidth="1"/>
    <col min="18" max="18" width="12" style="1" bestFit="1" customWidth="1"/>
    <col min="19" max="19" width="12.42578125" style="1" bestFit="1" customWidth="1"/>
    <col min="20" max="20" width="11.85546875" style="1" bestFit="1" customWidth="1"/>
    <col min="21" max="21" width="13" style="12" customWidth="1"/>
    <col min="22" max="16384" width="11.42578125" style="1"/>
  </cols>
  <sheetData>
    <row r="1" spans="1:21" ht="14.45" x14ac:dyDescent="0.3">
      <c r="C1" s="10" t="s">
        <v>71</v>
      </c>
      <c r="D1" s="10" t="s">
        <v>72</v>
      </c>
    </row>
    <row r="2" spans="1:21" thickBot="1" x14ac:dyDescent="0.35"/>
    <row r="3" spans="1:21" x14ac:dyDescent="0.25">
      <c r="A3" s="237" t="s">
        <v>73</v>
      </c>
      <c r="B3" s="239" t="s">
        <v>74</v>
      </c>
      <c r="C3" s="239" t="s">
        <v>75</v>
      </c>
      <c r="D3" s="239" t="s">
        <v>76</v>
      </c>
      <c r="E3" s="183"/>
      <c r="F3" s="239" t="s">
        <v>77</v>
      </c>
      <c r="G3" s="239" t="s">
        <v>78</v>
      </c>
      <c r="H3" s="241" t="s">
        <v>79</v>
      </c>
      <c r="I3" s="243" t="s">
        <v>80</v>
      </c>
      <c r="J3" s="244"/>
      <c r="K3" s="245"/>
      <c r="L3" s="243" t="s">
        <v>81</v>
      </c>
      <c r="M3" s="244"/>
      <c r="N3" s="245"/>
      <c r="O3" s="243" t="s">
        <v>82</v>
      </c>
      <c r="P3" s="244"/>
      <c r="Q3" s="245"/>
      <c r="R3" s="243" t="s">
        <v>83</v>
      </c>
      <c r="S3" s="244"/>
      <c r="T3" s="244"/>
      <c r="U3" s="235" t="s">
        <v>84</v>
      </c>
    </row>
    <row r="4" spans="1:21" ht="39.75" customHeight="1" thickBot="1" x14ac:dyDescent="0.3">
      <c r="A4" s="238"/>
      <c r="B4" s="240"/>
      <c r="C4" s="240"/>
      <c r="D4" s="240"/>
      <c r="E4" s="184"/>
      <c r="F4" s="240"/>
      <c r="G4" s="240"/>
      <c r="H4" s="242"/>
      <c r="I4" s="13" t="s">
        <v>85</v>
      </c>
      <c r="J4" s="14" t="s">
        <v>86</v>
      </c>
      <c r="K4" s="15" t="s">
        <v>87</v>
      </c>
      <c r="L4" s="13" t="s">
        <v>85</v>
      </c>
      <c r="M4" s="14" t="s">
        <v>86</v>
      </c>
      <c r="N4" s="15" t="s">
        <v>87</v>
      </c>
      <c r="O4" s="13" t="s">
        <v>85</v>
      </c>
      <c r="P4" s="14" t="s">
        <v>86</v>
      </c>
      <c r="Q4" s="15" t="s">
        <v>87</v>
      </c>
      <c r="R4" s="13" t="s">
        <v>85</v>
      </c>
      <c r="S4" s="14" t="s">
        <v>86</v>
      </c>
      <c r="T4" s="16" t="s">
        <v>87</v>
      </c>
      <c r="U4" s="236"/>
    </row>
    <row r="5" spans="1:21" ht="14.45" hidden="1" x14ac:dyDescent="0.3">
      <c r="A5" s="17" t="s">
        <v>88</v>
      </c>
      <c r="B5" s="18" t="s">
        <v>89</v>
      </c>
      <c r="C5" s="19"/>
      <c r="D5" s="20"/>
      <c r="E5" s="20"/>
      <c r="F5" s="21"/>
      <c r="G5" s="21"/>
      <c r="H5" s="22"/>
      <c r="I5" s="23"/>
      <c r="J5" s="24"/>
      <c r="K5" s="25"/>
      <c r="L5" s="23"/>
      <c r="M5" s="24"/>
      <c r="N5" s="25"/>
      <c r="O5" s="23"/>
      <c r="P5" s="24"/>
      <c r="Q5" s="25"/>
      <c r="R5" s="23"/>
      <c r="S5" s="24"/>
      <c r="T5" s="24"/>
      <c r="U5" s="26"/>
    </row>
    <row r="6" spans="1:21" ht="14.45" hidden="1" x14ac:dyDescent="0.3">
      <c r="A6" s="27" t="s">
        <v>88</v>
      </c>
      <c r="B6" s="28" t="s">
        <v>90</v>
      </c>
      <c r="C6" s="29"/>
      <c r="D6" s="30"/>
      <c r="E6" s="30"/>
      <c r="F6" s="31"/>
      <c r="G6" s="31"/>
      <c r="H6" s="32"/>
      <c r="I6" s="33"/>
      <c r="J6" s="34"/>
      <c r="K6" s="35"/>
      <c r="L6" s="33"/>
      <c r="M6" s="34"/>
      <c r="N6" s="35"/>
      <c r="O6" s="33"/>
      <c r="P6" s="34"/>
      <c r="Q6" s="35"/>
      <c r="R6" s="33"/>
      <c r="S6" s="34"/>
      <c r="T6" s="34"/>
      <c r="U6" s="36"/>
    </row>
    <row r="7" spans="1:21" ht="14.45" hidden="1" x14ac:dyDescent="0.3">
      <c r="A7" s="37" t="s">
        <v>88</v>
      </c>
      <c r="B7" s="38" t="s">
        <v>91</v>
      </c>
      <c r="C7" s="39"/>
      <c r="D7" s="40"/>
      <c r="E7" s="40"/>
      <c r="F7" s="41"/>
      <c r="G7" s="41"/>
      <c r="H7" s="42"/>
      <c r="I7" s="43"/>
      <c r="J7" s="42"/>
      <c r="K7" s="44"/>
      <c r="L7" s="43"/>
      <c r="M7" s="42"/>
      <c r="N7" s="44"/>
      <c r="O7" s="43"/>
      <c r="P7" s="42"/>
      <c r="Q7" s="44"/>
      <c r="R7" s="43"/>
      <c r="S7" s="42"/>
      <c r="T7" s="42"/>
      <c r="U7" s="45"/>
    </row>
    <row r="8" spans="1:21" ht="14.45" hidden="1" x14ac:dyDescent="0.3">
      <c r="A8" s="46" t="s">
        <v>88</v>
      </c>
      <c r="B8" s="2" t="s">
        <v>92</v>
      </c>
      <c r="C8" s="2" t="s">
        <v>93</v>
      </c>
      <c r="D8" s="2" t="s">
        <v>94</v>
      </c>
      <c r="E8" s="8" t="s">
        <v>422</v>
      </c>
      <c r="F8" s="47">
        <v>14</v>
      </c>
      <c r="G8" s="47"/>
      <c r="H8" s="48"/>
      <c r="I8" s="49"/>
      <c r="J8" s="50">
        <f>+[1]RRHH!I6</f>
        <v>148410.08000000002</v>
      </c>
      <c r="K8" s="51"/>
      <c r="L8" s="49"/>
      <c r="M8" s="50">
        <f>+[1]RRHH!K6</f>
        <v>185512.60000000003</v>
      </c>
      <c r="N8" s="51"/>
      <c r="O8" s="49"/>
      <c r="P8" s="50">
        <f>+[1]RRHH!M6</f>
        <v>231890.75000000006</v>
      </c>
      <c r="Q8" s="51"/>
      <c r="R8" s="52">
        <f>+O8+L8+I8</f>
        <v>0</v>
      </c>
      <c r="S8" s="53">
        <f>+P8+M8+J8</f>
        <v>565813.43000000017</v>
      </c>
      <c r="T8" s="54">
        <f>+Q8+N8+K8</f>
        <v>0</v>
      </c>
      <c r="U8" s="55">
        <f>+R8+S8+T8</f>
        <v>565813.43000000017</v>
      </c>
    </row>
    <row r="9" spans="1:21" ht="14.45" hidden="1" x14ac:dyDescent="0.3">
      <c r="A9" s="46" t="s">
        <v>88</v>
      </c>
      <c r="B9" s="2" t="s">
        <v>92</v>
      </c>
      <c r="C9" s="2" t="s">
        <v>95</v>
      </c>
      <c r="D9" s="2" t="s">
        <v>94</v>
      </c>
      <c r="E9" s="8" t="s">
        <v>422</v>
      </c>
      <c r="F9" s="47">
        <v>1</v>
      </c>
      <c r="G9" s="47"/>
      <c r="H9" s="48"/>
      <c r="I9" s="56"/>
      <c r="J9" s="57">
        <f>+[1]RRHH!I7</f>
        <v>11582.480000000001</v>
      </c>
      <c r="K9" s="58"/>
      <c r="L9" s="56"/>
      <c r="M9" s="57">
        <f>+[1]RRHH!K7</f>
        <v>14478.100000000002</v>
      </c>
      <c r="N9" s="58"/>
      <c r="O9" s="56"/>
      <c r="P9" s="57">
        <f>+[1]RRHH!M7</f>
        <v>18097.625000000004</v>
      </c>
      <c r="Q9" s="58"/>
      <c r="R9" s="52">
        <f t="shared" ref="R9:T22" si="0">+O9+L9+I9</f>
        <v>0</v>
      </c>
      <c r="S9" s="53">
        <f t="shared" si="0"/>
        <v>44158.205000000009</v>
      </c>
      <c r="T9" s="54">
        <f t="shared" si="0"/>
        <v>0</v>
      </c>
      <c r="U9" s="55">
        <f t="shared" ref="U9:U72" si="1">+R9+S9+T9</f>
        <v>44158.205000000009</v>
      </c>
    </row>
    <row r="10" spans="1:21" ht="28.9" hidden="1" x14ac:dyDescent="0.3">
      <c r="A10" s="46" t="s">
        <v>88</v>
      </c>
      <c r="B10" s="2" t="s">
        <v>92</v>
      </c>
      <c r="C10" s="2" t="s">
        <v>96</v>
      </c>
      <c r="D10" s="2" t="s">
        <v>94</v>
      </c>
      <c r="E10" s="8" t="s">
        <v>422</v>
      </c>
      <c r="F10" s="47">
        <v>1</v>
      </c>
      <c r="G10" s="47"/>
      <c r="H10" s="48"/>
      <c r="I10" s="59"/>
      <c r="J10" s="60">
        <f>+[1]RRHH!I8</f>
        <v>7852</v>
      </c>
      <c r="K10" s="61"/>
      <c r="L10" s="59"/>
      <c r="M10" s="60">
        <f>+[1]RRHH!K8</f>
        <v>9815</v>
      </c>
      <c r="N10" s="61"/>
      <c r="O10" s="59"/>
      <c r="P10" s="60">
        <f>+[1]RRHH!M8</f>
        <v>12268.75</v>
      </c>
      <c r="Q10" s="61"/>
      <c r="R10" s="52">
        <f t="shared" si="0"/>
        <v>0</v>
      </c>
      <c r="S10" s="53">
        <f t="shared" si="0"/>
        <v>29935.75</v>
      </c>
      <c r="T10" s="54">
        <f t="shared" si="0"/>
        <v>0</v>
      </c>
      <c r="U10" s="55">
        <f t="shared" si="1"/>
        <v>29935.75</v>
      </c>
    </row>
    <row r="11" spans="1:21" ht="14.45" hidden="1" x14ac:dyDescent="0.3">
      <c r="A11" s="46" t="s">
        <v>88</v>
      </c>
      <c r="B11" s="2" t="s">
        <v>97</v>
      </c>
      <c r="C11" s="2" t="s">
        <v>98</v>
      </c>
      <c r="D11" s="2" t="s">
        <v>94</v>
      </c>
      <c r="E11" s="8" t="s">
        <v>422</v>
      </c>
      <c r="F11" s="47">
        <v>50</v>
      </c>
      <c r="G11" s="47"/>
      <c r="H11" s="48"/>
      <c r="I11" s="49"/>
      <c r="J11" s="50">
        <f>+[1]RRHH!J9</f>
        <v>162552</v>
      </c>
      <c r="K11" s="51"/>
      <c r="L11" s="49"/>
      <c r="M11" s="50">
        <f>+[1]RRHH!L9</f>
        <v>541840</v>
      </c>
      <c r="N11" s="51"/>
      <c r="O11" s="49"/>
      <c r="P11" s="50">
        <f>+[1]RRHH!N9</f>
        <v>1058281.25</v>
      </c>
      <c r="Q11" s="51"/>
      <c r="R11" s="52">
        <f t="shared" si="0"/>
        <v>0</v>
      </c>
      <c r="S11" s="53">
        <f t="shared" si="0"/>
        <v>1762673.25</v>
      </c>
      <c r="T11" s="54">
        <f t="shared" si="0"/>
        <v>0</v>
      </c>
      <c r="U11" s="55">
        <f t="shared" si="1"/>
        <v>1762673.25</v>
      </c>
    </row>
    <row r="12" spans="1:21" ht="28.9" hidden="1" x14ac:dyDescent="0.3">
      <c r="A12" s="46" t="s">
        <v>88</v>
      </c>
      <c r="B12" s="2" t="s">
        <v>99</v>
      </c>
      <c r="C12" s="2" t="s">
        <v>100</v>
      </c>
      <c r="D12" s="2" t="s">
        <v>94</v>
      </c>
      <c r="E12" s="8" t="s">
        <v>422</v>
      </c>
      <c r="F12" s="47">
        <v>1</v>
      </c>
      <c r="G12" s="47"/>
      <c r="H12" s="48"/>
      <c r="I12" s="56"/>
      <c r="J12" s="57">
        <f>+[1]RRHH!I10</f>
        <v>16883.36</v>
      </c>
      <c r="K12" s="58"/>
      <c r="L12" s="56"/>
      <c r="M12" s="57">
        <f>+[1]RRHH!K10</f>
        <v>21104.2</v>
      </c>
      <c r="N12" s="58"/>
      <c r="O12" s="56"/>
      <c r="P12" s="57">
        <f>+[1]RRHH!M10</f>
        <v>26380.25</v>
      </c>
      <c r="Q12" s="58"/>
      <c r="R12" s="52">
        <f t="shared" si="0"/>
        <v>0</v>
      </c>
      <c r="S12" s="53">
        <f t="shared" si="0"/>
        <v>64367.81</v>
      </c>
      <c r="T12" s="54">
        <f t="shared" si="0"/>
        <v>0</v>
      </c>
      <c r="U12" s="55">
        <f t="shared" si="1"/>
        <v>64367.81</v>
      </c>
    </row>
    <row r="13" spans="1:21" ht="28.9" hidden="1" x14ac:dyDescent="0.3">
      <c r="A13" s="46" t="s">
        <v>88</v>
      </c>
      <c r="B13" s="2" t="s">
        <v>101</v>
      </c>
      <c r="C13" s="2" t="s">
        <v>100</v>
      </c>
      <c r="D13" s="2" t="s">
        <v>94</v>
      </c>
      <c r="E13" s="8" t="s">
        <v>422</v>
      </c>
      <c r="F13" s="47">
        <v>1</v>
      </c>
      <c r="G13" s="47"/>
      <c r="H13" s="48"/>
      <c r="I13" s="59"/>
      <c r="J13" s="60">
        <f>+[1]RRHH!I11</f>
        <v>16883.36</v>
      </c>
      <c r="K13" s="61"/>
      <c r="L13" s="59"/>
      <c r="M13" s="60">
        <f>+[1]RRHH!K11</f>
        <v>21104.2</v>
      </c>
      <c r="N13" s="61"/>
      <c r="O13" s="59"/>
      <c r="P13" s="60">
        <f>+[1]RRHH!M11</f>
        <v>26380.25</v>
      </c>
      <c r="Q13" s="61"/>
      <c r="R13" s="52">
        <f t="shared" si="0"/>
        <v>0</v>
      </c>
      <c r="S13" s="53">
        <f t="shared" si="0"/>
        <v>64367.81</v>
      </c>
      <c r="T13" s="54">
        <f t="shared" si="0"/>
        <v>0</v>
      </c>
      <c r="U13" s="55">
        <f t="shared" si="1"/>
        <v>64367.81</v>
      </c>
    </row>
    <row r="14" spans="1:21" ht="28.9" hidden="1" x14ac:dyDescent="0.3">
      <c r="A14" s="46" t="s">
        <v>88</v>
      </c>
      <c r="B14" s="2" t="s">
        <v>102</v>
      </c>
      <c r="C14" s="2" t="s">
        <v>100</v>
      </c>
      <c r="D14" s="2" t="s">
        <v>94</v>
      </c>
      <c r="E14" s="8" t="s">
        <v>422</v>
      </c>
      <c r="F14" s="47">
        <v>1</v>
      </c>
      <c r="G14" s="47"/>
      <c r="H14" s="48"/>
      <c r="I14" s="49"/>
      <c r="J14" s="50">
        <f>+[1]RRHH!I12</f>
        <v>16883.36</v>
      </c>
      <c r="K14" s="51"/>
      <c r="L14" s="49"/>
      <c r="M14" s="50">
        <f>+[1]RRHH!K12</f>
        <v>21104.2</v>
      </c>
      <c r="N14" s="51"/>
      <c r="O14" s="49"/>
      <c r="P14" s="50">
        <f>+[1]RRHH!M12</f>
        <v>26380.25</v>
      </c>
      <c r="Q14" s="51"/>
      <c r="R14" s="52">
        <f t="shared" si="0"/>
        <v>0</v>
      </c>
      <c r="S14" s="53">
        <f t="shared" si="0"/>
        <v>64367.81</v>
      </c>
      <c r="T14" s="54">
        <f t="shared" si="0"/>
        <v>0</v>
      </c>
      <c r="U14" s="55">
        <f t="shared" si="1"/>
        <v>64367.81</v>
      </c>
    </row>
    <row r="15" spans="1:21" ht="14.45" hidden="1" x14ac:dyDescent="0.3">
      <c r="A15" s="46" t="s">
        <v>88</v>
      </c>
      <c r="B15" s="2" t="s">
        <v>103</v>
      </c>
      <c r="C15" s="2" t="s">
        <v>104</v>
      </c>
      <c r="D15" s="2" t="s">
        <v>94</v>
      </c>
      <c r="E15" s="8" t="s">
        <v>422</v>
      </c>
      <c r="F15" s="47">
        <v>1</v>
      </c>
      <c r="G15" s="47"/>
      <c r="H15" s="48"/>
      <c r="I15" s="56"/>
      <c r="J15" s="57">
        <f>+[1]RRHH!I13</f>
        <v>12563.2</v>
      </c>
      <c r="K15" s="58"/>
      <c r="L15" s="56"/>
      <c r="M15" s="57">
        <f>+[1]RRHH!K13</f>
        <v>15704</v>
      </c>
      <c r="N15" s="58"/>
      <c r="O15" s="56"/>
      <c r="P15" s="57">
        <f>+[1]RRHH!M13</f>
        <v>19630</v>
      </c>
      <c r="Q15" s="58"/>
      <c r="R15" s="52">
        <f t="shared" si="0"/>
        <v>0</v>
      </c>
      <c r="S15" s="53">
        <f t="shared" si="0"/>
        <v>47897.2</v>
      </c>
      <c r="T15" s="54">
        <f t="shared" si="0"/>
        <v>0</v>
      </c>
      <c r="U15" s="55">
        <f t="shared" si="1"/>
        <v>47897.2</v>
      </c>
    </row>
    <row r="16" spans="1:21" ht="28.9" hidden="1" x14ac:dyDescent="0.3">
      <c r="A16" s="46" t="s">
        <v>88</v>
      </c>
      <c r="B16" s="2" t="s">
        <v>105</v>
      </c>
      <c r="C16" s="2" t="s">
        <v>106</v>
      </c>
      <c r="D16" s="2" t="s">
        <v>94</v>
      </c>
      <c r="E16" s="8" t="s">
        <v>422</v>
      </c>
      <c r="F16" s="47">
        <v>3</v>
      </c>
      <c r="G16" s="47"/>
      <c r="H16" s="48"/>
      <c r="I16" s="59"/>
      <c r="J16" s="60">
        <f>+[1]RRHH!I14</f>
        <v>43580.160000000003</v>
      </c>
      <c r="K16" s="61"/>
      <c r="L16" s="59"/>
      <c r="M16" s="60">
        <f>+[1]RRHH!K14</f>
        <v>54475.200000000004</v>
      </c>
      <c r="N16" s="61"/>
      <c r="O16" s="59"/>
      <c r="P16" s="60">
        <f>+[1]RRHH!M14</f>
        <v>68094</v>
      </c>
      <c r="Q16" s="61"/>
      <c r="R16" s="52">
        <f t="shared" si="0"/>
        <v>0</v>
      </c>
      <c r="S16" s="53">
        <f t="shared" si="0"/>
        <v>166149.36000000002</v>
      </c>
      <c r="T16" s="54">
        <f t="shared" si="0"/>
        <v>0</v>
      </c>
      <c r="U16" s="55">
        <f t="shared" si="1"/>
        <v>166149.36000000002</v>
      </c>
    </row>
    <row r="17" spans="1:21" ht="28.9" hidden="1" x14ac:dyDescent="0.3">
      <c r="A17" s="46" t="s">
        <v>88</v>
      </c>
      <c r="B17" s="2" t="s">
        <v>107</v>
      </c>
      <c r="C17" s="2" t="s">
        <v>104</v>
      </c>
      <c r="D17" s="2" t="s">
        <v>94</v>
      </c>
      <c r="E17" s="8" t="s">
        <v>422</v>
      </c>
      <c r="F17" s="47">
        <v>1</v>
      </c>
      <c r="G17" s="47"/>
      <c r="H17" s="48"/>
      <c r="I17" s="49"/>
      <c r="J17" s="50">
        <f>+[1]RRHH!I15</f>
        <v>12563.2</v>
      </c>
      <c r="K17" s="51"/>
      <c r="L17" s="49"/>
      <c r="M17" s="50">
        <f>+[1]RRHH!K15</f>
        <v>15704</v>
      </c>
      <c r="N17" s="51"/>
      <c r="O17" s="49"/>
      <c r="P17" s="50">
        <f>+[1]RRHH!M15</f>
        <v>19630</v>
      </c>
      <c r="Q17" s="51"/>
      <c r="R17" s="52">
        <f t="shared" si="0"/>
        <v>0</v>
      </c>
      <c r="S17" s="53">
        <f t="shared" si="0"/>
        <v>47897.2</v>
      </c>
      <c r="T17" s="54">
        <f t="shared" si="0"/>
        <v>0</v>
      </c>
      <c r="U17" s="55">
        <f t="shared" si="1"/>
        <v>47897.2</v>
      </c>
    </row>
    <row r="18" spans="1:21" ht="28.9" hidden="1" x14ac:dyDescent="0.3">
      <c r="A18" s="46" t="s">
        <v>88</v>
      </c>
      <c r="B18" s="2" t="s">
        <v>108</v>
      </c>
      <c r="C18" s="2" t="s">
        <v>109</v>
      </c>
      <c r="D18" s="2" t="s">
        <v>94</v>
      </c>
      <c r="E18" s="8" t="s">
        <v>422</v>
      </c>
      <c r="F18" s="47">
        <v>1</v>
      </c>
      <c r="G18" s="47"/>
      <c r="H18" s="48"/>
      <c r="I18" s="56"/>
      <c r="J18" s="57">
        <f>+[1]RRHH!I16</f>
        <v>16883.36</v>
      </c>
      <c r="K18" s="58"/>
      <c r="L18" s="56"/>
      <c r="M18" s="57">
        <f>+[1]RRHH!K16</f>
        <v>21104.2</v>
      </c>
      <c r="N18" s="58"/>
      <c r="O18" s="56"/>
      <c r="P18" s="57">
        <f>+[1]RRHH!M16</f>
        <v>26380.25</v>
      </c>
      <c r="Q18" s="58"/>
      <c r="R18" s="52">
        <f t="shared" si="0"/>
        <v>0</v>
      </c>
      <c r="S18" s="53">
        <f t="shared" si="0"/>
        <v>64367.81</v>
      </c>
      <c r="T18" s="54">
        <f t="shared" si="0"/>
        <v>0</v>
      </c>
      <c r="U18" s="55">
        <f t="shared" si="1"/>
        <v>64367.81</v>
      </c>
    </row>
    <row r="19" spans="1:21" ht="28.9" hidden="1" x14ac:dyDescent="0.3">
      <c r="A19" s="46" t="s">
        <v>88</v>
      </c>
      <c r="B19" s="2" t="s">
        <v>110</v>
      </c>
      <c r="C19" s="2" t="s">
        <v>111</v>
      </c>
      <c r="D19" s="2" t="s">
        <v>94</v>
      </c>
      <c r="E19" s="8" t="s">
        <v>422</v>
      </c>
      <c r="F19" s="47">
        <v>3</v>
      </c>
      <c r="G19" s="47"/>
      <c r="H19" s="48"/>
      <c r="I19" s="59"/>
      <c r="J19" s="60">
        <f>+[1]RRHH!I17</f>
        <v>47115.12</v>
      </c>
      <c r="K19" s="61"/>
      <c r="L19" s="59"/>
      <c r="M19" s="60">
        <f>+[1]RRHH!K17</f>
        <v>58893.9</v>
      </c>
      <c r="N19" s="61"/>
      <c r="O19" s="59"/>
      <c r="P19" s="60">
        <f>+[1]RRHH!M17</f>
        <v>73617.375</v>
      </c>
      <c r="Q19" s="61"/>
      <c r="R19" s="52">
        <f t="shared" si="0"/>
        <v>0</v>
      </c>
      <c r="S19" s="53">
        <f t="shared" si="0"/>
        <v>179626.39499999999</v>
      </c>
      <c r="T19" s="54">
        <f t="shared" si="0"/>
        <v>0</v>
      </c>
      <c r="U19" s="55">
        <f t="shared" si="1"/>
        <v>179626.39499999999</v>
      </c>
    </row>
    <row r="20" spans="1:21" ht="28.9" hidden="1" x14ac:dyDescent="0.3">
      <c r="A20" s="46" t="s">
        <v>88</v>
      </c>
      <c r="B20" s="2" t="s">
        <v>112</v>
      </c>
      <c r="C20" s="2" t="s">
        <v>113</v>
      </c>
      <c r="D20" s="2" t="s">
        <v>94</v>
      </c>
      <c r="E20" s="8" t="s">
        <v>422</v>
      </c>
      <c r="F20" s="47">
        <v>1</v>
      </c>
      <c r="G20" s="47"/>
      <c r="H20" s="48"/>
      <c r="I20" s="49"/>
      <c r="J20" s="50">
        <f>+[1]RRHH!I18</f>
        <v>15705.04</v>
      </c>
      <c r="K20" s="51"/>
      <c r="L20" s="49"/>
      <c r="M20" s="50">
        <f>+[1]RRHH!K18</f>
        <v>19631.300000000003</v>
      </c>
      <c r="N20" s="51"/>
      <c r="O20" s="49"/>
      <c r="P20" s="50">
        <f>+[1]RRHH!M18</f>
        <v>24539.125000000004</v>
      </c>
      <c r="Q20" s="51"/>
      <c r="R20" s="52">
        <f t="shared" si="0"/>
        <v>0</v>
      </c>
      <c r="S20" s="53">
        <f t="shared" si="0"/>
        <v>59875.465000000004</v>
      </c>
      <c r="T20" s="54">
        <f t="shared" si="0"/>
        <v>0</v>
      </c>
      <c r="U20" s="55">
        <f t="shared" si="1"/>
        <v>59875.465000000004</v>
      </c>
    </row>
    <row r="21" spans="1:21" ht="14.45" hidden="1" x14ac:dyDescent="0.3">
      <c r="A21" s="46" t="s">
        <v>88</v>
      </c>
      <c r="B21" s="2" t="s">
        <v>114</v>
      </c>
      <c r="C21" s="2" t="s">
        <v>115</v>
      </c>
      <c r="D21" s="2" t="s">
        <v>94</v>
      </c>
      <c r="E21" s="8" t="s">
        <v>422</v>
      </c>
      <c r="F21" s="47">
        <v>1</v>
      </c>
      <c r="G21" s="47"/>
      <c r="H21" s="48"/>
      <c r="I21" s="56"/>
      <c r="J21" s="57">
        <f>+[1]RRHH!I19</f>
        <v>19631.04</v>
      </c>
      <c r="K21" s="58"/>
      <c r="L21" s="56"/>
      <c r="M21" s="57">
        <f>+[1]RRHH!K19</f>
        <v>24538.800000000003</v>
      </c>
      <c r="N21" s="58"/>
      <c r="O21" s="56"/>
      <c r="P21" s="57">
        <f>+[1]RRHH!M19</f>
        <v>30673.500000000004</v>
      </c>
      <c r="Q21" s="58"/>
      <c r="R21" s="52">
        <f t="shared" si="0"/>
        <v>0</v>
      </c>
      <c r="S21" s="53">
        <f t="shared" si="0"/>
        <v>74843.34</v>
      </c>
      <c r="T21" s="54">
        <f t="shared" si="0"/>
        <v>0</v>
      </c>
      <c r="U21" s="55">
        <f t="shared" si="1"/>
        <v>74843.34</v>
      </c>
    </row>
    <row r="22" spans="1:21" ht="28.9" hidden="1" x14ac:dyDescent="0.3">
      <c r="A22" s="46" t="s">
        <v>88</v>
      </c>
      <c r="B22" s="2" t="s">
        <v>116</v>
      </c>
      <c r="C22" s="2" t="s">
        <v>117</v>
      </c>
      <c r="D22" s="2" t="s">
        <v>118</v>
      </c>
      <c r="E22" s="8" t="s">
        <v>422</v>
      </c>
      <c r="F22" s="47">
        <v>30</v>
      </c>
      <c r="G22" s="47"/>
      <c r="H22" s="48"/>
      <c r="I22" s="59"/>
      <c r="J22" s="60">
        <f>+(2800*12*30)/15</f>
        <v>67200</v>
      </c>
      <c r="K22" s="61"/>
      <c r="L22" s="59"/>
      <c r="M22" s="60">
        <f>+(3100*12*30)/15</f>
        <v>74400</v>
      </c>
      <c r="N22" s="61"/>
      <c r="O22" s="59"/>
      <c r="P22" s="60">
        <f>+(3260*12*30)/15</f>
        <v>78240</v>
      </c>
      <c r="Q22" s="61"/>
      <c r="R22" s="52">
        <f t="shared" si="0"/>
        <v>0</v>
      </c>
      <c r="S22" s="53">
        <f t="shared" si="0"/>
        <v>219840</v>
      </c>
      <c r="T22" s="54">
        <f t="shared" si="0"/>
        <v>0</v>
      </c>
      <c r="U22" s="55">
        <f t="shared" si="1"/>
        <v>219840</v>
      </c>
    </row>
    <row r="23" spans="1:21" ht="14.45" hidden="1" x14ac:dyDescent="0.3">
      <c r="A23" s="37" t="s">
        <v>88</v>
      </c>
      <c r="B23" s="38" t="s">
        <v>119</v>
      </c>
      <c r="C23" s="39"/>
      <c r="D23" s="40"/>
      <c r="E23" s="40"/>
      <c r="F23" s="41"/>
      <c r="G23" s="41"/>
      <c r="H23" s="42"/>
      <c r="I23" s="43"/>
      <c r="J23" s="42"/>
      <c r="K23" s="44"/>
      <c r="L23" s="43"/>
      <c r="M23" s="42"/>
      <c r="N23" s="44"/>
      <c r="O23" s="43"/>
      <c r="P23" s="42"/>
      <c r="Q23" s="44"/>
      <c r="R23" s="43"/>
      <c r="S23" s="42"/>
      <c r="T23" s="42"/>
      <c r="U23" s="45"/>
    </row>
    <row r="24" spans="1:21" ht="14.45" hidden="1" x14ac:dyDescent="0.3">
      <c r="A24" s="46" t="s">
        <v>88</v>
      </c>
      <c r="B24" s="2" t="s">
        <v>120</v>
      </c>
      <c r="C24" s="2" t="s">
        <v>121</v>
      </c>
      <c r="D24" s="2" t="s">
        <v>122</v>
      </c>
      <c r="E24" s="8" t="s">
        <v>423</v>
      </c>
      <c r="F24" s="47"/>
      <c r="G24" s="47"/>
      <c r="H24" s="48"/>
      <c r="I24" s="49">
        <v>37532</v>
      </c>
      <c r="J24" s="50"/>
      <c r="K24" s="51"/>
      <c r="L24" s="49">
        <v>37532</v>
      </c>
      <c r="M24" s="50"/>
      <c r="N24" s="51"/>
      <c r="O24" s="49">
        <v>20816</v>
      </c>
      <c r="P24" s="50"/>
      <c r="Q24" s="51"/>
      <c r="R24" s="52">
        <f t="shared" ref="R24:T26" si="2">+O24+L24+I24</f>
        <v>95880</v>
      </c>
      <c r="S24" s="53">
        <f t="shared" si="2"/>
        <v>0</v>
      </c>
      <c r="T24" s="54">
        <f t="shared" si="2"/>
        <v>0</v>
      </c>
      <c r="U24" s="55">
        <f t="shared" si="1"/>
        <v>95880</v>
      </c>
    </row>
    <row r="25" spans="1:21" ht="14.45" hidden="1" x14ac:dyDescent="0.3">
      <c r="A25" s="46" t="s">
        <v>88</v>
      </c>
      <c r="B25" s="2" t="s">
        <v>0</v>
      </c>
      <c r="C25" s="2" t="s">
        <v>123</v>
      </c>
      <c r="D25" s="2" t="s">
        <v>124</v>
      </c>
      <c r="E25" s="2" t="s">
        <v>124</v>
      </c>
      <c r="F25" s="47"/>
      <c r="G25" s="47"/>
      <c r="H25" s="48"/>
      <c r="I25" s="56">
        <v>35000</v>
      </c>
      <c r="J25" s="57"/>
      <c r="K25" s="58"/>
      <c r="L25" s="56">
        <v>0</v>
      </c>
      <c r="M25" s="57"/>
      <c r="N25" s="58"/>
      <c r="O25" s="56">
        <v>0</v>
      </c>
      <c r="P25" s="57"/>
      <c r="Q25" s="58"/>
      <c r="R25" s="52">
        <f t="shared" si="2"/>
        <v>35000</v>
      </c>
      <c r="S25" s="53">
        <f t="shared" si="2"/>
        <v>0</v>
      </c>
      <c r="T25" s="54">
        <f t="shared" si="2"/>
        <v>0</v>
      </c>
      <c r="U25" s="55">
        <f t="shared" si="1"/>
        <v>35000</v>
      </c>
    </row>
    <row r="26" spans="1:21" ht="28.9" hidden="1" x14ac:dyDescent="0.3">
      <c r="A26" s="46" t="s">
        <v>88</v>
      </c>
      <c r="B26" s="2" t="s">
        <v>125</v>
      </c>
      <c r="C26" s="2" t="s">
        <v>126</v>
      </c>
      <c r="D26" s="2" t="s">
        <v>127</v>
      </c>
      <c r="E26" s="8" t="s">
        <v>424</v>
      </c>
      <c r="F26" s="47"/>
      <c r="G26" s="47"/>
      <c r="H26" s="48"/>
      <c r="I26" s="59">
        <v>20000</v>
      </c>
      <c r="J26" s="60"/>
      <c r="K26" s="61"/>
      <c r="L26" s="59">
        <v>22000</v>
      </c>
      <c r="M26" s="60"/>
      <c r="N26" s="61"/>
      <c r="O26" s="59">
        <v>25000</v>
      </c>
      <c r="P26" s="60"/>
      <c r="Q26" s="61"/>
      <c r="R26" s="52">
        <f t="shared" si="2"/>
        <v>67000</v>
      </c>
      <c r="S26" s="53">
        <f t="shared" si="2"/>
        <v>0</v>
      </c>
      <c r="T26" s="54">
        <f t="shared" si="2"/>
        <v>0</v>
      </c>
      <c r="U26" s="55">
        <f t="shared" si="1"/>
        <v>67000</v>
      </c>
    </row>
    <row r="27" spans="1:21" ht="14.45" hidden="1" x14ac:dyDescent="0.3">
      <c r="A27" s="37" t="s">
        <v>88</v>
      </c>
      <c r="B27" s="38" t="s">
        <v>128</v>
      </c>
      <c r="C27" s="39"/>
      <c r="D27" s="40"/>
      <c r="E27" s="40"/>
      <c r="F27" s="41"/>
      <c r="G27" s="41"/>
      <c r="H27" s="42"/>
      <c r="I27" s="43"/>
      <c r="J27" s="42"/>
      <c r="K27" s="44"/>
      <c r="L27" s="43"/>
      <c r="M27" s="42"/>
      <c r="N27" s="44"/>
      <c r="O27" s="43"/>
      <c r="P27" s="42"/>
      <c r="Q27" s="44"/>
      <c r="R27" s="43"/>
      <c r="S27" s="42"/>
      <c r="T27" s="42"/>
      <c r="U27" s="45"/>
    </row>
    <row r="28" spans="1:21" ht="28.9" hidden="1" x14ac:dyDescent="0.3">
      <c r="A28" s="62" t="s">
        <v>88</v>
      </c>
      <c r="B28" s="8" t="s">
        <v>129</v>
      </c>
      <c r="C28" s="8" t="s">
        <v>130</v>
      </c>
      <c r="D28" s="2" t="s">
        <v>131</v>
      </c>
      <c r="E28" s="2" t="s">
        <v>131</v>
      </c>
      <c r="F28" s="9"/>
      <c r="G28" s="9"/>
      <c r="H28" s="63"/>
      <c r="I28" s="59">
        <v>34300</v>
      </c>
      <c r="J28" s="60"/>
      <c r="K28" s="61"/>
      <c r="L28" s="59">
        <v>46305</v>
      </c>
      <c r="M28" s="60"/>
      <c r="N28" s="61"/>
      <c r="O28" s="59">
        <v>64826.999999999993</v>
      </c>
      <c r="P28" s="60"/>
      <c r="Q28" s="61"/>
      <c r="R28" s="52">
        <f t="shared" ref="R28:T32" si="3">+O28+L28+I28</f>
        <v>145432</v>
      </c>
      <c r="S28" s="53">
        <f t="shared" si="3"/>
        <v>0</v>
      </c>
      <c r="T28" s="54">
        <f t="shared" si="3"/>
        <v>0</v>
      </c>
      <c r="U28" s="55">
        <f t="shared" si="1"/>
        <v>145432</v>
      </c>
    </row>
    <row r="29" spans="1:21" ht="28.9" hidden="1" x14ac:dyDescent="0.3">
      <c r="A29" s="62" t="s">
        <v>88</v>
      </c>
      <c r="B29" s="8" t="s">
        <v>132</v>
      </c>
      <c r="C29" s="8" t="s">
        <v>130</v>
      </c>
      <c r="D29" s="2" t="s">
        <v>131</v>
      </c>
      <c r="E29" s="2" t="s">
        <v>131</v>
      </c>
      <c r="F29" s="9"/>
      <c r="G29" s="9"/>
      <c r="H29" s="63"/>
      <c r="I29" s="59">
        <v>16000</v>
      </c>
      <c r="J29" s="60"/>
      <c r="K29" s="61"/>
      <c r="L29" s="59">
        <v>16000</v>
      </c>
      <c r="M29" s="60"/>
      <c r="N29" s="61"/>
      <c r="O29" s="59">
        <v>16000</v>
      </c>
      <c r="P29" s="60"/>
      <c r="Q29" s="61"/>
      <c r="R29" s="52">
        <f t="shared" si="3"/>
        <v>48000</v>
      </c>
      <c r="S29" s="53">
        <f t="shared" si="3"/>
        <v>0</v>
      </c>
      <c r="T29" s="54">
        <f t="shared" si="3"/>
        <v>0</v>
      </c>
      <c r="U29" s="55">
        <f t="shared" si="1"/>
        <v>48000</v>
      </c>
    </row>
    <row r="30" spans="1:21" ht="43.15" hidden="1" x14ac:dyDescent="0.3">
      <c r="A30" s="62" t="s">
        <v>88</v>
      </c>
      <c r="B30" s="8" t="s">
        <v>133</v>
      </c>
      <c r="C30" s="8" t="s">
        <v>134</v>
      </c>
      <c r="D30" s="2" t="s">
        <v>131</v>
      </c>
      <c r="E30" s="2" t="s">
        <v>131</v>
      </c>
      <c r="F30" s="64"/>
      <c r="G30" s="64"/>
      <c r="H30" s="65"/>
      <c r="I30" s="59">
        <v>2600</v>
      </c>
      <c r="J30" s="60"/>
      <c r="K30" s="61"/>
      <c r="L30" s="59">
        <v>4550</v>
      </c>
      <c r="M30" s="60"/>
      <c r="N30" s="61"/>
      <c r="O30" s="59">
        <v>4550</v>
      </c>
      <c r="P30" s="60"/>
      <c r="Q30" s="61"/>
      <c r="R30" s="52">
        <f t="shared" si="3"/>
        <v>11700</v>
      </c>
      <c r="S30" s="53">
        <f t="shared" si="3"/>
        <v>0</v>
      </c>
      <c r="T30" s="54">
        <f t="shared" si="3"/>
        <v>0</v>
      </c>
      <c r="U30" s="55">
        <f t="shared" si="1"/>
        <v>11700</v>
      </c>
    </row>
    <row r="31" spans="1:21" ht="14.45" hidden="1" x14ac:dyDescent="0.3">
      <c r="A31" s="46" t="s">
        <v>88</v>
      </c>
      <c r="B31" s="2" t="s">
        <v>135</v>
      </c>
      <c r="C31" s="2" t="s">
        <v>136</v>
      </c>
      <c r="D31" s="2" t="s">
        <v>127</v>
      </c>
      <c r="E31" s="8" t="s">
        <v>424</v>
      </c>
      <c r="F31" s="47"/>
      <c r="G31" s="47"/>
      <c r="H31" s="48"/>
      <c r="I31" s="59">
        <v>40000</v>
      </c>
      <c r="J31" s="60"/>
      <c r="K31" s="61"/>
      <c r="L31" s="59">
        <v>50000</v>
      </c>
      <c r="M31" s="60"/>
      <c r="N31" s="61"/>
      <c r="O31" s="59">
        <v>50000</v>
      </c>
      <c r="P31" s="60"/>
      <c r="Q31" s="61"/>
      <c r="R31" s="52">
        <f t="shared" si="3"/>
        <v>140000</v>
      </c>
      <c r="S31" s="53">
        <f t="shared" si="3"/>
        <v>0</v>
      </c>
      <c r="T31" s="54">
        <f t="shared" si="3"/>
        <v>0</v>
      </c>
      <c r="U31" s="55">
        <f t="shared" si="1"/>
        <v>140000</v>
      </c>
    </row>
    <row r="32" spans="1:21" ht="28.9" hidden="1" x14ac:dyDescent="0.3">
      <c r="A32" s="46" t="s">
        <v>88</v>
      </c>
      <c r="B32" s="2" t="s">
        <v>137</v>
      </c>
      <c r="C32" s="8" t="s">
        <v>130</v>
      </c>
      <c r="D32" s="2" t="s">
        <v>131</v>
      </c>
      <c r="E32" s="2" t="s">
        <v>131</v>
      </c>
      <c r="F32" s="9"/>
      <c r="G32" s="9"/>
      <c r="H32" s="63"/>
      <c r="I32" s="59">
        <v>3000</v>
      </c>
      <c r="J32" s="60"/>
      <c r="K32" s="61"/>
      <c r="L32" s="59">
        <v>3900</v>
      </c>
      <c r="M32" s="60"/>
      <c r="N32" s="61"/>
      <c r="O32" s="59">
        <v>5070</v>
      </c>
      <c r="P32" s="60"/>
      <c r="Q32" s="61"/>
      <c r="R32" s="52">
        <f t="shared" si="3"/>
        <v>11970</v>
      </c>
      <c r="S32" s="53">
        <f t="shared" si="3"/>
        <v>0</v>
      </c>
      <c r="T32" s="54">
        <f t="shared" si="3"/>
        <v>0</v>
      </c>
      <c r="U32" s="55">
        <f t="shared" si="1"/>
        <v>11970</v>
      </c>
    </row>
    <row r="33" spans="1:94" ht="14.45" hidden="1" x14ac:dyDescent="0.3">
      <c r="A33" s="27" t="s">
        <v>88</v>
      </c>
      <c r="B33" s="28" t="s">
        <v>138</v>
      </c>
      <c r="C33" s="29"/>
      <c r="D33" s="30"/>
      <c r="E33" s="30"/>
      <c r="F33" s="31"/>
      <c r="G33" s="31"/>
      <c r="H33" s="32"/>
      <c r="I33" s="33"/>
      <c r="J33" s="34"/>
      <c r="K33" s="35"/>
      <c r="L33" s="33"/>
      <c r="M33" s="34"/>
      <c r="N33" s="35"/>
      <c r="O33" s="33"/>
      <c r="P33" s="34"/>
      <c r="Q33" s="35"/>
      <c r="R33" s="33"/>
      <c r="S33" s="34"/>
      <c r="T33" s="34"/>
      <c r="U33" s="36"/>
    </row>
    <row r="34" spans="1:94" ht="14.45" hidden="1" x14ac:dyDescent="0.3">
      <c r="A34" s="37" t="s">
        <v>88</v>
      </c>
      <c r="B34" s="38" t="s">
        <v>91</v>
      </c>
      <c r="C34" s="39"/>
      <c r="D34" s="40"/>
      <c r="E34" s="40"/>
      <c r="F34" s="41"/>
      <c r="G34" s="41"/>
      <c r="H34" s="42"/>
      <c r="I34" s="43"/>
      <c r="J34" s="42"/>
      <c r="K34" s="44"/>
      <c r="L34" s="43"/>
      <c r="M34" s="42"/>
      <c r="N34" s="44"/>
      <c r="O34" s="43"/>
      <c r="P34" s="42"/>
      <c r="Q34" s="44"/>
      <c r="R34" s="43"/>
      <c r="S34" s="42"/>
      <c r="T34" s="42"/>
      <c r="U34" s="45"/>
    </row>
    <row r="35" spans="1:94" ht="14.45" hidden="1" x14ac:dyDescent="0.3">
      <c r="A35" s="46" t="s">
        <v>88</v>
      </c>
      <c r="B35" s="2" t="s">
        <v>97</v>
      </c>
      <c r="C35" s="2" t="s">
        <v>139</v>
      </c>
      <c r="D35" s="2" t="s">
        <v>94</v>
      </c>
      <c r="E35" s="8" t="s">
        <v>422</v>
      </c>
      <c r="F35" s="47">
        <v>5</v>
      </c>
      <c r="G35" s="47"/>
      <c r="H35" s="48"/>
      <c r="I35" s="59"/>
      <c r="J35" s="60">
        <f>+[1]RRHH!I20</f>
        <v>53003.6</v>
      </c>
      <c r="K35" s="61"/>
      <c r="L35" s="59"/>
      <c r="M35" s="60">
        <f>+[1]RRHH!K20</f>
        <v>66254.5</v>
      </c>
      <c r="N35" s="61"/>
      <c r="O35" s="59"/>
      <c r="P35" s="60">
        <f>+[1]RRHH!M20</f>
        <v>82818.125</v>
      </c>
      <c r="Q35" s="61"/>
      <c r="R35" s="52">
        <f t="shared" ref="R35:T36" si="4">+O35+L35+I35</f>
        <v>0</v>
      </c>
      <c r="S35" s="53">
        <f t="shared" si="4"/>
        <v>202076.22500000001</v>
      </c>
      <c r="T35" s="54">
        <f t="shared" si="4"/>
        <v>0</v>
      </c>
      <c r="U35" s="55">
        <f t="shared" si="1"/>
        <v>202076.22500000001</v>
      </c>
    </row>
    <row r="36" spans="1:94" ht="28.9" hidden="1" x14ac:dyDescent="0.3">
      <c r="A36" s="46" t="s">
        <v>88</v>
      </c>
      <c r="B36" s="2" t="s">
        <v>116</v>
      </c>
      <c r="C36" s="8" t="s">
        <v>117</v>
      </c>
      <c r="D36" s="2" t="s">
        <v>140</v>
      </c>
      <c r="E36" s="8" t="s">
        <v>422</v>
      </c>
      <c r="F36" s="9">
        <v>5</v>
      </c>
      <c r="G36" s="9"/>
      <c r="H36" s="63"/>
      <c r="I36" s="59"/>
      <c r="J36" s="60">
        <f>+(2800*12*5)/15</f>
        <v>11200</v>
      </c>
      <c r="K36" s="61"/>
      <c r="L36" s="59"/>
      <c r="M36" s="60">
        <f>+(3100*12*5)/15</f>
        <v>12400</v>
      </c>
      <c r="N36" s="61"/>
      <c r="O36" s="59"/>
      <c r="P36" s="60">
        <f>+(3260*12*5)/15</f>
        <v>13040</v>
      </c>
      <c r="Q36" s="61"/>
      <c r="R36" s="52">
        <f t="shared" si="4"/>
        <v>0</v>
      </c>
      <c r="S36" s="53">
        <f t="shared" si="4"/>
        <v>36640</v>
      </c>
      <c r="T36" s="54">
        <f t="shared" si="4"/>
        <v>0</v>
      </c>
      <c r="U36" s="55">
        <f t="shared" si="1"/>
        <v>36640</v>
      </c>
    </row>
    <row r="37" spans="1:94" ht="14.45" hidden="1" x14ac:dyDescent="0.3">
      <c r="A37" s="37" t="s">
        <v>88</v>
      </c>
      <c r="B37" s="38" t="s">
        <v>141</v>
      </c>
      <c r="C37" s="39"/>
      <c r="D37" s="40"/>
      <c r="E37" s="40"/>
      <c r="F37" s="41"/>
      <c r="G37" s="41"/>
      <c r="H37" s="42"/>
      <c r="I37" s="43"/>
      <c r="J37" s="42"/>
      <c r="K37" s="44"/>
      <c r="L37" s="43"/>
      <c r="M37" s="42"/>
      <c r="N37" s="44"/>
      <c r="O37" s="43"/>
      <c r="P37" s="42"/>
      <c r="Q37" s="44"/>
      <c r="R37" s="43"/>
      <c r="S37" s="42"/>
      <c r="T37" s="42"/>
      <c r="U37" s="45"/>
    </row>
    <row r="38" spans="1:94" ht="28.9" hidden="1" x14ac:dyDescent="0.3">
      <c r="A38" s="46" t="s">
        <v>88</v>
      </c>
      <c r="B38" s="2" t="s">
        <v>142</v>
      </c>
      <c r="C38" s="8" t="s">
        <v>143</v>
      </c>
      <c r="D38" s="2" t="s">
        <v>94</v>
      </c>
      <c r="E38" s="8" t="s">
        <v>422</v>
      </c>
      <c r="F38" s="9">
        <v>1</v>
      </c>
      <c r="G38" s="9"/>
      <c r="H38" s="63"/>
      <c r="I38" s="59"/>
      <c r="J38" s="60">
        <f>+[1]RRHH!I21</f>
        <v>19000</v>
      </c>
      <c r="K38" s="61"/>
      <c r="L38" s="59"/>
      <c r="M38" s="60">
        <f>+[1]RRHH!K21</f>
        <v>24700</v>
      </c>
      <c r="N38" s="61"/>
      <c r="O38" s="59"/>
      <c r="P38" s="60">
        <f>+[1]RRHH!M21</f>
        <v>0</v>
      </c>
      <c r="Q38" s="61"/>
      <c r="R38" s="52">
        <f t="shared" ref="R38:T38" si="5">+O38+L38+I38</f>
        <v>0</v>
      </c>
      <c r="S38" s="53">
        <f t="shared" si="5"/>
        <v>43700</v>
      </c>
      <c r="T38" s="54">
        <f t="shared" si="5"/>
        <v>0</v>
      </c>
      <c r="U38" s="55">
        <f t="shared" si="1"/>
        <v>43700</v>
      </c>
    </row>
    <row r="39" spans="1:94" ht="14.45" hidden="1" x14ac:dyDescent="0.3">
      <c r="A39" s="37" t="s">
        <v>88</v>
      </c>
      <c r="B39" s="38" t="s">
        <v>128</v>
      </c>
      <c r="C39" s="39"/>
      <c r="D39" s="40"/>
      <c r="E39" s="40"/>
      <c r="F39" s="41"/>
      <c r="G39" s="41"/>
      <c r="H39" s="42"/>
      <c r="I39" s="43"/>
      <c r="J39" s="42"/>
      <c r="K39" s="44"/>
      <c r="L39" s="43"/>
      <c r="M39" s="42"/>
      <c r="N39" s="44"/>
      <c r="O39" s="43"/>
      <c r="P39" s="42"/>
      <c r="Q39" s="44"/>
      <c r="R39" s="43"/>
      <c r="S39" s="42"/>
      <c r="T39" s="42"/>
      <c r="U39" s="45"/>
    </row>
    <row r="40" spans="1:94" ht="28.9" hidden="1" x14ac:dyDescent="0.3">
      <c r="A40" s="62" t="s">
        <v>88</v>
      </c>
      <c r="B40" s="8" t="s">
        <v>144</v>
      </c>
      <c r="C40" s="8" t="s">
        <v>145</v>
      </c>
      <c r="D40" s="2" t="s">
        <v>131</v>
      </c>
      <c r="E40" s="2" t="s">
        <v>131</v>
      </c>
      <c r="F40" s="9"/>
      <c r="G40" s="9"/>
      <c r="H40" s="63"/>
      <c r="I40" s="52">
        <v>14700</v>
      </c>
      <c r="J40" s="53"/>
      <c r="K40" s="66"/>
      <c r="L40" s="52">
        <f>+I40*1.35</f>
        <v>19845</v>
      </c>
      <c r="M40" s="53"/>
      <c r="N40" s="66"/>
      <c r="O40" s="52">
        <f>+L40*1.45</f>
        <v>28775.25</v>
      </c>
      <c r="P40" s="53"/>
      <c r="Q40" s="66"/>
      <c r="R40" s="52">
        <f t="shared" ref="R40:T41" si="6">+O40+L40+I40</f>
        <v>63320.25</v>
      </c>
      <c r="S40" s="53">
        <f t="shared" si="6"/>
        <v>0</v>
      </c>
      <c r="T40" s="54">
        <f t="shared" si="6"/>
        <v>0</v>
      </c>
      <c r="U40" s="55">
        <f t="shared" si="1"/>
        <v>63320.25</v>
      </c>
    </row>
    <row r="41" spans="1:94" ht="43.15" hidden="1" x14ac:dyDescent="0.3">
      <c r="A41" s="67" t="s">
        <v>88</v>
      </c>
      <c r="B41" s="68" t="s">
        <v>133</v>
      </c>
      <c r="C41" s="8" t="s">
        <v>146</v>
      </c>
      <c r="D41" s="2" t="s">
        <v>131</v>
      </c>
      <c r="E41" s="2" t="s">
        <v>131</v>
      </c>
      <c r="F41" s="64"/>
      <c r="G41" s="64"/>
      <c r="H41" s="65"/>
      <c r="I41" s="52">
        <v>3900</v>
      </c>
      <c r="J41" s="53"/>
      <c r="K41" s="66"/>
      <c r="L41" s="52">
        <f>+I41*1.35</f>
        <v>5265</v>
      </c>
      <c r="M41" s="53"/>
      <c r="N41" s="66"/>
      <c r="O41" s="52">
        <f>+L41*1.45</f>
        <v>7634.25</v>
      </c>
      <c r="P41" s="53"/>
      <c r="Q41" s="66"/>
      <c r="R41" s="52">
        <f t="shared" si="6"/>
        <v>16799.25</v>
      </c>
      <c r="S41" s="53">
        <f t="shared" si="6"/>
        <v>0</v>
      </c>
      <c r="T41" s="54">
        <f t="shared" si="6"/>
        <v>0</v>
      </c>
      <c r="U41" s="55">
        <f t="shared" si="1"/>
        <v>16799.25</v>
      </c>
    </row>
    <row r="42" spans="1:94" ht="14.45" hidden="1" x14ac:dyDescent="0.3">
      <c r="A42" s="69" t="s">
        <v>88</v>
      </c>
      <c r="B42" s="70" t="s">
        <v>147</v>
      </c>
      <c r="C42" s="71"/>
      <c r="D42" s="72"/>
      <c r="E42" s="72"/>
      <c r="F42" s="73"/>
      <c r="G42" s="73"/>
      <c r="H42" s="74"/>
      <c r="I42" s="23"/>
      <c r="J42" s="24"/>
      <c r="K42" s="25"/>
      <c r="L42" s="23"/>
      <c r="M42" s="24"/>
      <c r="N42" s="25"/>
      <c r="O42" s="23"/>
      <c r="P42" s="24"/>
      <c r="Q42" s="25"/>
      <c r="R42" s="23"/>
      <c r="S42" s="24"/>
      <c r="T42" s="24"/>
      <c r="U42" s="26"/>
    </row>
    <row r="43" spans="1:94" ht="14.45" hidden="1" x14ac:dyDescent="0.3">
      <c r="A43" s="27" t="s">
        <v>88</v>
      </c>
      <c r="B43" s="28" t="s">
        <v>148</v>
      </c>
      <c r="C43" s="29"/>
      <c r="D43" s="30"/>
      <c r="E43" s="30"/>
      <c r="F43" s="31"/>
      <c r="G43" s="31"/>
      <c r="H43" s="32"/>
      <c r="I43" s="33"/>
      <c r="J43" s="34"/>
      <c r="K43" s="35"/>
      <c r="L43" s="33"/>
      <c r="M43" s="34"/>
      <c r="N43" s="35"/>
      <c r="O43" s="33"/>
      <c r="P43" s="34"/>
      <c r="Q43" s="35"/>
      <c r="R43" s="33"/>
      <c r="S43" s="34"/>
      <c r="T43" s="34"/>
      <c r="U43" s="36"/>
    </row>
    <row r="44" spans="1:94" ht="14.45" hidden="1" x14ac:dyDescent="0.3">
      <c r="A44" s="37" t="s">
        <v>88</v>
      </c>
      <c r="B44" s="38" t="s">
        <v>91</v>
      </c>
      <c r="C44" s="39"/>
      <c r="D44" s="40"/>
      <c r="E44" s="40"/>
      <c r="F44" s="41"/>
      <c r="G44" s="41"/>
      <c r="H44" s="42"/>
      <c r="I44" s="43"/>
      <c r="J44" s="42"/>
      <c r="K44" s="44"/>
      <c r="L44" s="43"/>
      <c r="M44" s="42"/>
      <c r="N44" s="44"/>
      <c r="O44" s="43"/>
      <c r="P44" s="42"/>
      <c r="Q44" s="44"/>
      <c r="R44" s="43"/>
      <c r="S44" s="42"/>
      <c r="T44" s="42"/>
      <c r="U44" s="4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1:94" ht="14.45" hidden="1" x14ac:dyDescent="0.3">
      <c r="A45" s="62" t="s">
        <v>88</v>
      </c>
      <c r="B45" s="8" t="s">
        <v>149</v>
      </c>
      <c r="C45" s="8" t="s">
        <v>150</v>
      </c>
      <c r="D45" s="2" t="s">
        <v>94</v>
      </c>
      <c r="E45" s="8" t="s">
        <v>422</v>
      </c>
      <c r="F45" s="9">
        <v>33</v>
      </c>
      <c r="G45" s="9"/>
      <c r="H45" s="63"/>
      <c r="I45" s="52"/>
      <c r="J45" s="53">
        <f>+[1]RRHH!I22</f>
        <v>349823.76</v>
      </c>
      <c r="K45" s="66"/>
      <c r="L45" s="52"/>
      <c r="M45" s="53">
        <f>+[1]RRHH!K22</f>
        <v>437279.7</v>
      </c>
      <c r="N45" s="66"/>
      <c r="O45" s="52"/>
      <c r="P45" s="53">
        <f>+[1]RRHH!M22</f>
        <v>546599.625</v>
      </c>
      <c r="Q45" s="66"/>
      <c r="R45" s="52">
        <f t="shared" ref="R45:T70" si="7">+O45+L45+I45</f>
        <v>0</v>
      </c>
      <c r="S45" s="53">
        <f t="shared" si="7"/>
        <v>1333703.085</v>
      </c>
      <c r="T45" s="54">
        <f t="shared" si="7"/>
        <v>0</v>
      </c>
      <c r="U45" s="55">
        <f t="shared" si="1"/>
        <v>1333703.085</v>
      </c>
    </row>
    <row r="46" spans="1:94" ht="28.9" hidden="1" x14ac:dyDescent="0.3">
      <c r="A46" s="62" t="s">
        <v>88</v>
      </c>
      <c r="B46" s="8" t="s">
        <v>149</v>
      </c>
      <c r="C46" s="8" t="s">
        <v>151</v>
      </c>
      <c r="D46" s="2" t="s">
        <v>94</v>
      </c>
      <c r="E46" s="8" t="s">
        <v>422</v>
      </c>
      <c r="F46" s="9">
        <v>2</v>
      </c>
      <c r="G46" s="9"/>
      <c r="H46" s="63"/>
      <c r="I46" s="52"/>
      <c r="J46" s="53">
        <f>+[1]RRHH!I23</f>
        <v>15704</v>
      </c>
      <c r="K46" s="66"/>
      <c r="L46" s="52"/>
      <c r="M46" s="53">
        <f>+[1]RRHH!K23</f>
        <v>19630</v>
      </c>
      <c r="N46" s="66"/>
      <c r="O46" s="52"/>
      <c r="P46" s="53">
        <f>+[1]RRHH!M23</f>
        <v>24537.5</v>
      </c>
      <c r="Q46" s="66"/>
      <c r="R46" s="52">
        <f t="shared" si="7"/>
        <v>0</v>
      </c>
      <c r="S46" s="53">
        <f t="shared" si="7"/>
        <v>59871.5</v>
      </c>
      <c r="T46" s="54">
        <f t="shared" si="7"/>
        <v>0</v>
      </c>
      <c r="U46" s="55">
        <f t="shared" si="1"/>
        <v>59871.5</v>
      </c>
    </row>
    <row r="47" spans="1:94" ht="14.45" hidden="1" x14ac:dyDescent="0.3">
      <c r="A47" s="62" t="s">
        <v>88</v>
      </c>
      <c r="B47" s="8" t="s">
        <v>97</v>
      </c>
      <c r="C47" s="8" t="s">
        <v>152</v>
      </c>
      <c r="D47" s="2" t="s">
        <v>94</v>
      </c>
      <c r="E47" s="8" t="s">
        <v>422</v>
      </c>
      <c r="F47" s="9">
        <v>57</v>
      </c>
      <c r="G47" s="9"/>
      <c r="H47" s="63"/>
      <c r="I47" s="52"/>
      <c r="J47" s="53">
        <f>+[1]RRHH!J24</f>
        <v>351769.59999999998</v>
      </c>
      <c r="K47" s="66"/>
      <c r="L47" s="52"/>
      <c r="M47" s="53">
        <f>+[1]RRHH!L24</f>
        <v>659568</v>
      </c>
      <c r="N47" s="66"/>
      <c r="O47" s="52"/>
      <c r="P47" s="53">
        <f>+[1]RRHH!N24</f>
        <v>1118910</v>
      </c>
      <c r="Q47" s="66"/>
      <c r="R47" s="52">
        <f t="shared" si="7"/>
        <v>0</v>
      </c>
      <c r="S47" s="53">
        <f t="shared" si="7"/>
        <v>2130247.6</v>
      </c>
      <c r="T47" s="54">
        <f t="shared" si="7"/>
        <v>0</v>
      </c>
      <c r="U47" s="55">
        <f t="shared" si="1"/>
        <v>2130247.6</v>
      </c>
    </row>
    <row r="48" spans="1:94" ht="14.45" hidden="1" x14ac:dyDescent="0.3">
      <c r="A48" s="62" t="s">
        <v>88</v>
      </c>
      <c r="B48" s="8" t="s">
        <v>153</v>
      </c>
      <c r="C48" s="8" t="s">
        <v>154</v>
      </c>
      <c r="D48" s="2" t="s">
        <v>94</v>
      </c>
      <c r="E48" s="8" t="s">
        <v>422</v>
      </c>
      <c r="F48" s="9">
        <v>1</v>
      </c>
      <c r="G48" s="9"/>
      <c r="H48" s="63"/>
      <c r="I48" s="52"/>
      <c r="J48" s="53">
        <f>+[1]RRHH!I25</f>
        <v>13546</v>
      </c>
      <c r="K48" s="66"/>
      <c r="L48" s="52"/>
      <c r="M48" s="53">
        <f>+[1]RRHH!K25</f>
        <v>16932.5</v>
      </c>
      <c r="N48" s="66"/>
      <c r="O48" s="52"/>
      <c r="P48" s="53">
        <f>+[1]RRHH!M25</f>
        <v>21165.625</v>
      </c>
      <c r="Q48" s="66"/>
      <c r="R48" s="52">
        <f t="shared" si="7"/>
        <v>0</v>
      </c>
      <c r="S48" s="53">
        <f t="shared" si="7"/>
        <v>51644.125</v>
      </c>
      <c r="T48" s="54">
        <f t="shared" si="7"/>
        <v>0</v>
      </c>
      <c r="U48" s="55">
        <f t="shared" si="1"/>
        <v>51644.125</v>
      </c>
    </row>
    <row r="49" spans="1:21" ht="28.9" hidden="1" x14ac:dyDescent="0.3">
      <c r="A49" s="62" t="s">
        <v>88</v>
      </c>
      <c r="B49" s="8" t="s">
        <v>105</v>
      </c>
      <c r="C49" s="8" t="s">
        <v>155</v>
      </c>
      <c r="D49" s="2" t="s">
        <v>94</v>
      </c>
      <c r="E49" s="8" t="s">
        <v>422</v>
      </c>
      <c r="F49" s="9">
        <v>6</v>
      </c>
      <c r="G49" s="9"/>
      <c r="H49" s="63"/>
      <c r="I49" s="52"/>
      <c r="J49" s="53">
        <f>+[1]RRHH!I26</f>
        <v>87160.320000000007</v>
      </c>
      <c r="K49" s="66"/>
      <c r="L49" s="52"/>
      <c r="M49" s="53">
        <f>+[1]RRHH!K26</f>
        <v>108950.40000000001</v>
      </c>
      <c r="N49" s="66"/>
      <c r="O49" s="52"/>
      <c r="P49" s="53">
        <f>+[1]RRHH!M26</f>
        <v>136188</v>
      </c>
      <c r="Q49" s="66"/>
      <c r="R49" s="52">
        <f t="shared" si="7"/>
        <v>0</v>
      </c>
      <c r="S49" s="53">
        <f t="shared" si="7"/>
        <v>332298.72000000003</v>
      </c>
      <c r="T49" s="54">
        <f t="shared" si="7"/>
        <v>0</v>
      </c>
      <c r="U49" s="55">
        <f t="shared" si="1"/>
        <v>332298.72000000003</v>
      </c>
    </row>
    <row r="50" spans="1:21" ht="28.9" hidden="1" x14ac:dyDescent="0.3">
      <c r="A50" s="62" t="s">
        <v>88</v>
      </c>
      <c r="B50" s="8" t="s">
        <v>105</v>
      </c>
      <c r="C50" s="8" t="s">
        <v>156</v>
      </c>
      <c r="D50" s="2" t="s">
        <v>94</v>
      </c>
      <c r="E50" s="8" t="s">
        <v>422</v>
      </c>
      <c r="F50" s="9">
        <v>2</v>
      </c>
      <c r="G50" s="9"/>
      <c r="H50" s="63"/>
      <c r="I50" s="52"/>
      <c r="J50" s="53">
        <f>+[1]RRHH!I27</f>
        <v>33766.720000000001</v>
      </c>
      <c r="K50" s="66"/>
      <c r="L50" s="52"/>
      <c r="M50" s="53">
        <f>+[1]RRHH!K27</f>
        <v>42208.4</v>
      </c>
      <c r="N50" s="66"/>
      <c r="O50" s="52"/>
      <c r="P50" s="53">
        <f>+[1]RRHH!M27</f>
        <v>52760.5</v>
      </c>
      <c r="Q50" s="66"/>
      <c r="R50" s="52">
        <f t="shared" si="7"/>
        <v>0</v>
      </c>
      <c r="S50" s="53">
        <f t="shared" si="7"/>
        <v>128735.62</v>
      </c>
      <c r="T50" s="54">
        <f t="shared" si="7"/>
        <v>0</v>
      </c>
      <c r="U50" s="55">
        <f t="shared" si="1"/>
        <v>128735.62</v>
      </c>
    </row>
    <row r="51" spans="1:21" ht="28.9" hidden="1" x14ac:dyDescent="0.3">
      <c r="A51" s="62" t="s">
        <v>88</v>
      </c>
      <c r="B51" s="8" t="s">
        <v>105</v>
      </c>
      <c r="C51" s="8" t="s">
        <v>157</v>
      </c>
      <c r="D51" s="2" t="s">
        <v>94</v>
      </c>
      <c r="E51" s="8" t="s">
        <v>422</v>
      </c>
      <c r="F51" s="9">
        <v>1</v>
      </c>
      <c r="G51" s="9"/>
      <c r="H51" s="63"/>
      <c r="I51" s="52"/>
      <c r="J51" s="53">
        <f>+[1]RRHH!I28</f>
        <v>18060.640000000003</v>
      </c>
      <c r="K51" s="66"/>
      <c r="L51" s="52"/>
      <c r="M51" s="53">
        <f>+[1]RRHH!K28</f>
        <v>22575.800000000003</v>
      </c>
      <c r="N51" s="66"/>
      <c r="O51" s="52"/>
      <c r="P51" s="53">
        <f>+[1]RRHH!M28</f>
        <v>28219.750000000004</v>
      </c>
      <c r="Q51" s="66"/>
      <c r="R51" s="52">
        <f t="shared" si="7"/>
        <v>0</v>
      </c>
      <c r="S51" s="53">
        <f t="shared" si="7"/>
        <v>68856.19</v>
      </c>
      <c r="T51" s="54">
        <f t="shared" si="7"/>
        <v>0</v>
      </c>
      <c r="U51" s="55">
        <f t="shared" si="1"/>
        <v>68856.19</v>
      </c>
    </row>
    <row r="52" spans="1:21" ht="28.9" hidden="1" x14ac:dyDescent="0.3">
      <c r="A52" s="62" t="s">
        <v>88</v>
      </c>
      <c r="B52" s="8" t="s">
        <v>158</v>
      </c>
      <c r="C52" s="8" t="s">
        <v>159</v>
      </c>
      <c r="D52" s="2" t="s">
        <v>94</v>
      </c>
      <c r="E52" s="8" t="s">
        <v>422</v>
      </c>
      <c r="F52" s="9">
        <v>1</v>
      </c>
      <c r="G52" s="9"/>
      <c r="H52" s="63"/>
      <c r="I52" s="52"/>
      <c r="J52" s="53">
        <f>+[1]RRHH!I29</f>
        <v>16883.36</v>
      </c>
      <c r="K52" s="66"/>
      <c r="L52" s="52"/>
      <c r="M52" s="53">
        <f>+[1]RRHH!K29</f>
        <v>21104.2</v>
      </c>
      <c r="N52" s="66"/>
      <c r="O52" s="52"/>
      <c r="P52" s="53">
        <f>+[1]RRHH!M29</f>
        <v>26380.25</v>
      </c>
      <c r="Q52" s="66"/>
      <c r="R52" s="52">
        <f t="shared" si="7"/>
        <v>0</v>
      </c>
      <c r="S52" s="53">
        <f t="shared" si="7"/>
        <v>64367.81</v>
      </c>
      <c r="T52" s="54">
        <f t="shared" si="7"/>
        <v>0</v>
      </c>
      <c r="U52" s="55">
        <f t="shared" si="1"/>
        <v>64367.81</v>
      </c>
    </row>
    <row r="53" spans="1:21" ht="28.9" hidden="1" x14ac:dyDescent="0.3">
      <c r="A53" s="62" t="s">
        <v>88</v>
      </c>
      <c r="B53" s="8" t="s">
        <v>110</v>
      </c>
      <c r="C53" s="8" t="s">
        <v>160</v>
      </c>
      <c r="D53" s="2" t="s">
        <v>94</v>
      </c>
      <c r="E53" s="8" t="s">
        <v>422</v>
      </c>
      <c r="F53" s="9">
        <v>1</v>
      </c>
      <c r="G53" s="9"/>
      <c r="H53" s="63"/>
      <c r="I53" s="52"/>
      <c r="J53" s="53">
        <f>+[1]RRHH!I30</f>
        <v>18060.640000000003</v>
      </c>
      <c r="K53" s="66"/>
      <c r="L53" s="52"/>
      <c r="M53" s="53">
        <f>+[1]RRHH!K30</f>
        <v>22575.800000000003</v>
      </c>
      <c r="N53" s="66"/>
      <c r="O53" s="52"/>
      <c r="P53" s="53">
        <f>+[1]RRHH!M30</f>
        <v>28219.750000000004</v>
      </c>
      <c r="Q53" s="66"/>
      <c r="R53" s="52">
        <f t="shared" si="7"/>
        <v>0</v>
      </c>
      <c r="S53" s="53">
        <f t="shared" si="7"/>
        <v>68856.19</v>
      </c>
      <c r="T53" s="54">
        <f t="shared" si="7"/>
        <v>0</v>
      </c>
      <c r="U53" s="55">
        <f t="shared" si="1"/>
        <v>68856.19</v>
      </c>
    </row>
    <row r="54" spans="1:21" ht="28.9" hidden="1" x14ac:dyDescent="0.3">
      <c r="A54" s="62" t="s">
        <v>88</v>
      </c>
      <c r="B54" s="8" t="s">
        <v>161</v>
      </c>
      <c r="C54" s="8" t="s">
        <v>162</v>
      </c>
      <c r="D54" s="2" t="s">
        <v>94</v>
      </c>
      <c r="E54" s="8" t="s">
        <v>422</v>
      </c>
      <c r="F54" s="9">
        <v>1</v>
      </c>
      <c r="G54" s="9"/>
      <c r="H54" s="63"/>
      <c r="I54" s="52"/>
      <c r="J54" s="53">
        <f>+[1]RRHH!I31</f>
        <v>16883.36</v>
      </c>
      <c r="K54" s="66"/>
      <c r="L54" s="52"/>
      <c r="M54" s="53">
        <f>+[1]RRHH!K31</f>
        <v>21104.2</v>
      </c>
      <c r="N54" s="66"/>
      <c r="O54" s="52"/>
      <c r="P54" s="53">
        <f>+[1]RRHH!M31</f>
        <v>26380.25</v>
      </c>
      <c r="Q54" s="66"/>
      <c r="R54" s="52">
        <f t="shared" si="7"/>
        <v>0</v>
      </c>
      <c r="S54" s="53">
        <f t="shared" si="7"/>
        <v>64367.81</v>
      </c>
      <c r="T54" s="54">
        <f t="shared" si="7"/>
        <v>0</v>
      </c>
      <c r="U54" s="55">
        <f t="shared" si="1"/>
        <v>64367.81</v>
      </c>
    </row>
    <row r="55" spans="1:21" ht="28.9" hidden="1" x14ac:dyDescent="0.3">
      <c r="A55" s="62" t="s">
        <v>88</v>
      </c>
      <c r="B55" s="8" t="s">
        <v>163</v>
      </c>
      <c r="C55" s="8" t="s">
        <v>164</v>
      </c>
      <c r="D55" s="2" t="s">
        <v>94</v>
      </c>
      <c r="E55" s="8" t="s">
        <v>422</v>
      </c>
      <c r="F55" s="9">
        <v>1</v>
      </c>
      <c r="G55" s="9"/>
      <c r="H55" s="63"/>
      <c r="I55" s="52"/>
      <c r="J55" s="53">
        <f>+[1]RRHH!I32</f>
        <v>22771.840000000004</v>
      </c>
      <c r="K55" s="66"/>
      <c r="L55" s="52"/>
      <c r="M55" s="53">
        <f>+[1]RRHH!K32</f>
        <v>28464.800000000003</v>
      </c>
      <c r="N55" s="66"/>
      <c r="O55" s="52"/>
      <c r="P55" s="53">
        <f>+[1]RRHH!M32</f>
        <v>35581</v>
      </c>
      <c r="Q55" s="66"/>
      <c r="R55" s="52">
        <f t="shared" si="7"/>
        <v>0</v>
      </c>
      <c r="S55" s="53">
        <f t="shared" si="7"/>
        <v>86817.640000000014</v>
      </c>
      <c r="T55" s="54">
        <f t="shared" si="7"/>
        <v>0</v>
      </c>
      <c r="U55" s="55">
        <f t="shared" si="1"/>
        <v>86817.640000000014</v>
      </c>
    </row>
    <row r="56" spans="1:21" ht="28.9" hidden="1" x14ac:dyDescent="0.3">
      <c r="A56" s="62" t="s">
        <v>88</v>
      </c>
      <c r="B56" s="8" t="s">
        <v>165</v>
      </c>
      <c r="C56" s="8" t="s">
        <v>159</v>
      </c>
      <c r="D56" s="2" t="s">
        <v>94</v>
      </c>
      <c r="E56" s="8" t="s">
        <v>422</v>
      </c>
      <c r="F56" s="9">
        <v>1</v>
      </c>
      <c r="G56" s="9"/>
      <c r="H56" s="63"/>
      <c r="I56" s="52"/>
      <c r="J56" s="53">
        <f>+[1]RRHH!I33</f>
        <v>16883.36</v>
      </c>
      <c r="K56" s="66"/>
      <c r="L56" s="52"/>
      <c r="M56" s="53">
        <f>+[1]RRHH!K33</f>
        <v>21104.2</v>
      </c>
      <c r="N56" s="66"/>
      <c r="O56" s="52"/>
      <c r="P56" s="53">
        <f>+[1]RRHH!M33</f>
        <v>26380.25</v>
      </c>
      <c r="Q56" s="66"/>
      <c r="R56" s="52">
        <f t="shared" si="7"/>
        <v>0</v>
      </c>
      <c r="S56" s="53">
        <f t="shared" si="7"/>
        <v>64367.81</v>
      </c>
      <c r="T56" s="54">
        <f t="shared" si="7"/>
        <v>0</v>
      </c>
      <c r="U56" s="55">
        <f t="shared" si="1"/>
        <v>64367.81</v>
      </c>
    </row>
    <row r="57" spans="1:21" ht="28.9" hidden="1" x14ac:dyDescent="0.3">
      <c r="A57" s="62" t="s">
        <v>88</v>
      </c>
      <c r="B57" s="8" t="s">
        <v>166</v>
      </c>
      <c r="C57" s="8" t="s">
        <v>167</v>
      </c>
      <c r="D57" s="2" t="s">
        <v>94</v>
      </c>
      <c r="E57" s="8" t="s">
        <v>422</v>
      </c>
      <c r="F57" s="9">
        <v>1</v>
      </c>
      <c r="G57" s="9"/>
      <c r="H57" s="63"/>
      <c r="I57" s="52"/>
      <c r="J57" s="53">
        <f>+[1]RRHH!I34</f>
        <v>15705.04</v>
      </c>
      <c r="K57" s="66"/>
      <c r="L57" s="52"/>
      <c r="M57" s="53">
        <f>+[1]RRHH!K34</f>
        <v>19631.300000000003</v>
      </c>
      <c r="N57" s="66"/>
      <c r="O57" s="52"/>
      <c r="P57" s="53">
        <f>+[1]RRHH!M34</f>
        <v>24539.125000000004</v>
      </c>
      <c r="Q57" s="66"/>
      <c r="R57" s="52">
        <f t="shared" si="7"/>
        <v>0</v>
      </c>
      <c r="S57" s="53">
        <f t="shared" si="7"/>
        <v>59875.465000000004</v>
      </c>
      <c r="T57" s="54">
        <f t="shared" si="7"/>
        <v>0</v>
      </c>
      <c r="U57" s="55">
        <f t="shared" si="1"/>
        <v>59875.465000000004</v>
      </c>
    </row>
    <row r="58" spans="1:21" ht="14.45" hidden="1" x14ac:dyDescent="0.3">
      <c r="A58" s="62" t="s">
        <v>88</v>
      </c>
      <c r="B58" s="8" t="s">
        <v>168</v>
      </c>
      <c r="C58" s="8" t="s">
        <v>169</v>
      </c>
      <c r="D58" s="2" t="s">
        <v>94</v>
      </c>
      <c r="E58" s="8" t="s">
        <v>422</v>
      </c>
      <c r="F58" s="9">
        <v>1</v>
      </c>
      <c r="G58" s="9"/>
      <c r="H58" s="63"/>
      <c r="I58" s="52"/>
      <c r="J58" s="53">
        <f>+[1]RRHH!I35</f>
        <v>13546</v>
      </c>
      <c r="K58" s="66"/>
      <c r="L58" s="52"/>
      <c r="M58" s="53">
        <f>+[1]RRHH!K35</f>
        <v>16932.5</v>
      </c>
      <c r="N58" s="66"/>
      <c r="O58" s="52"/>
      <c r="P58" s="53">
        <f>+[1]RRHH!M35</f>
        <v>21165.625</v>
      </c>
      <c r="Q58" s="66"/>
      <c r="R58" s="52">
        <f t="shared" si="7"/>
        <v>0</v>
      </c>
      <c r="S58" s="53">
        <f t="shared" si="7"/>
        <v>51644.125</v>
      </c>
      <c r="T58" s="54">
        <f t="shared" si="7"/>
        <v>0</v>
      </c>
      <c r="U58" s="55">
        <f t="shared" si="1"/>
        <v>51644.125</v>
      </c>
    </row>
    <row r="59" spans="1:21" ht="28.9" hidden="1" x14ac:dyDescent="0.3">
      <c r="A59" s="62" t="s">
        <v>88</v>
      </c>
      <c r="B59" s="8" t="s">
        <v>170</v>
      </c>
      <c r="C59" s="8" t="s">
        <v>169</v>
      </c>
      <c r="D59" s="2" t="s">
        <v>94</v>
      </c>
      <c r="E59" s="8" t="s">
        <v>422</v>
      </c>
      <c r="F59" s="9">
        <v>1</v>
      </c>
      <c r="G59" s="9"/>
      <c r="H59" s="63"/>
      <c r="I59" s="52"/>
      <c r="J59" s="53">
        <f>+[1]RRHH!I36</f>
        <v>13546</v>
      </c>
      <c r="K59" s="66"/>
      <c r="L59" s="52"/>
      <c r="M59" s="53">
        <f>+[1]RRHH!K36</f>
        <v>16932.5</v>
      </c>
      <c r="N59" s="66"/>
      <c r="O59" s="52"/>
      <c r="P59" s="53">
        <f>+[1]RRHH!M36</f>
        <v>21165.625</v>
      </c>
      <c r="Q59" s="66"/>
      <c r="R59" s="52">
        <f t="shared" si="7"/>
        <v>0</v>
      </c>
      <c r="S59" s="53">
        <f t="shared" si="7"/>
        <v>51644.125</v>
      </c>
      <c r="T59" s="54">
        <f t="shared" si="7"/>
        <v>0</v>
      </c>
      <c r="U59" s="55">
        <f t="shared" si="1"/>
        <v>51644.125</v>
      </c>
    </row>
    <row r="60" spans="1:21" ht="14.45" hidden="1" x14ac:dyDescent="0.3">
      <c r="A60" s="62" t="s">
        <v>88</v>
      </c>
      <c r="B60" s="8" t="s">
        <v>103</v>
      </c>
      <c r="C60" s="8" t="s">
        <v>171</v>
      </c>
      <c r="D60" s="2" t="s">
        <v>94</v>
      </c>
      <c r="E60" s="8" t="s">
        <v>422</v>
      </c>
      <c r="F60" s="9">
        <v>1</v>
      </c>
      <c r="G60" s="9"/>
      <c r="H60" s="63"/>
      <c r="I60" s="52"/>
      <c r="J60" s="53">
        <f>+[1]RRHH!I37</f>
        <v>10600.720000000001</v>
      </c>
      <c r="K60" s="66"/>
      <c r="L60" s="52"/>
      <c r="M60" s="53">
        <f>+[1]RRHH!K37</f>
        <v>13250.900000000001</v>
      </c>
      <c r="N60" s="66"/>
      <c r="O60" s="52"/>
      <c r="P60" s="53">
        <f>+[1]RRHH!M37</f>
        <v>16563.625</v>
      </c>
      <c r="Q60" s="66"/>
      <c r="R60" s="52">
        <f t="shared" si="7"/>
        <v>0</v>
      </c>
      <c r="S60" s="53">
        <f t="shared" si="7"/>
        <v>40415.245000000003</v>
      </c>
      <c r="T60" s="54">
        <f t="shared" si="7"/>
        <v>0</v>
      </c>
      <c r="U60" s="55">
        <f t="shared" si="1"/>
        <v>40415.245000000003</v>
      </c>
    </row>
    <row r="61" spans="1:21" ht="14.45" hidden="1" x14ac:dyDescent="0.3">
      <c r="A61" s="62" t="s">
        <v>88</v>
      </c>
      <c r="B61" s="8" t="s">
        <v>103</v>
      </c>
      <c r="C61" s="8" t="s">
        <v>172</v>
      </c>
      <c r="D61" s="2" t="s">
        <v>94</v>
      </c>
      <c r="E61" s="8" t="s">
        <v>422</v>
      </c>
      <c r="F61" s="9">
        <v>1</v>
      </c>
      <c r="G61" s="9"/>
      <c r="H61" s="63"/>
      <c r="I61" s="52"/>
      <c r="J61" s="53">
        <f>+[1]RRHH!I38</f>
        <v>12563.2</v>
      </c>
      <c r="K61" s="66"/>
      <c r="L61" s="52"/>
      <c r="M61" s="53">
        <f>+[1]RRHH!K38</f>
        <v>15704</v>
      </c>
      <c r="N61" s="66"/>
      <c r="O61" s="52"/>
      <c r="P61" s="53">
        <f>+[1]RRHH!M38</f>
        <v>19630</v>
      </c>
      <c r="Q61" s="66"/>
      <c r="R61" s="52">
        <f t="shared" si="7"/>
        <v>0</v>
      </c>
      <c r="S61" s="53">
        <f t="shared" si="7"/>
        <v>47897.2</v>
      </c>
      <c r="T61" s="54">
        <f t="shared" si="7"/>
        <v>0</v>
      </c>
      <c r="U61" s="55">
        <f t="shared" si="1"/>
        <v>47897.2</v>
      </c>
    </row>
    <row r="62" spans="1:21" ht="14.45" hidden="1" x14ac:dyDescent="0.3">
      <c r="A62" s="62" t="s">
        <v>88</v>
      </c>
      <c r="B62" s="8" t="s">
        <v>173</v>
      </c>
      <c r="C62" s="8" t="s">
        <v>174</v>
      </c>
      <c r="D62" s="2" t="s">
        <v>94</v>
      </c>
      <c r="E62" s="8" t="s">
        <v>422</v>
      </c>
      <c r="F62" s="9">
        <v>1</v>
      </c>
      <c r="G62" s="9"/>
      <c r="H62" s="63"/>
      <c r="I62" s="52"/>
      <c r="J62" s="53">
        <f>+[1]RRHH!I39</f>
        <v>10600.720000000001</v>
      </c>
      <c r="K62" s="66"/>
      <c r="L62" s="52"/>
      <c r="M62" s="53">
        <f>+[1]RRHH!K39</f>
        <v>13250.900000000001</v>
      </c>
      <c r="N62" s="66"/>
      <c r="O62" s="52"/>
      <c r="P62" s="53">
        <f>+[1]RRHH!M39</f>
        <v>16563.625</v>
      </c>
      <c r="Q62" s="66"/>
      <c r="R62" s="52">
        <f t="shared" si="7"/>
        <v>0</v>
      </c>
      <c r="S62" s="53">
        <f t="shared" si="7"/>
        <v>40415.245000000003</v>
      </c>
      <c r="T62" s="54">
        <f t="shared" si="7"/>
        <v>0</v>
      </c>
      <c r="U62" s="55">
        <f t="shared" si="1"/>
        <v>40415.245000000003</v>
      </c>
    </row>
    <row r="63" spans="1:21" ht="14.45" hidden="1" x14ac:dyDescent="0.3">
      <c r="A63" s="62" t="s">
        <v>88</v>
      </c>
      <c r="B63" s="8" t="s">
        <v>173</v>
      </c>
      <c r="C63" s="8" t="s">
        <v>175</v>
      </c>
      <c r="D63" s="2" t="s">
        <v>94</v>
      </c>
      <c r="E63" s="8" t="s">
        <v>422</v>
      </c>
      <c r="F63" s="9">
        <v>3</v>
      </c>
      <c r="G63" s="9"/>
      <c r="H63" s="63"/>
      <c r="I63" s="52"/>
      <c r="J63" s="53">
        <f>+[1]RRHH!I40</f>
        <v>37689.599999999999</v>
      </c>
      <c r="K63" s="66"/>
      <c r="L63" s="52"/>
      <c r="M63" s="53">
        <f>+[1]RRHH!K40</f>
        <v>47112</v>
      </c>
      <c r="N63" s="66"/>
      <c r="O63" s="52"/>
      <c r="P63" s="53">
        <f>+[1]RRHH!M40</f>
        <v>58890</v>
      </c>
      <c r="Q63" s="66"/>
      <c r="R63" s="52">
        <f t="shared" si="7"/>
        <v>0</v>
      </c>
      <c r="S63" s="53">
        <f t="shared" si="7"/>
        <v>143691.6</v>
      </c>
      <c r="T63" s="54">
        <f t="shared" si="7"/>
        <v>0</v>
      </c>
      <c r="U63" s="55">
        <f t="shared" si="1"/>
        <v>143691.6</v>
      </c>
    </row>
    <row r="64" spans="1:21" ht="14.45" hidden="1" x14ac:dyDescent="0.3">
      <c r="A64" s="62" t="s">
        <v>88</v>
      </c>
      <c r="B64" s="8" t="s">
        <v>173</v>
      </c>
      <c r="C64" s="8" t="s">
        <v>176</v>
      </c>
      <c r="D64" s="2" t="s">
        <v>94</v>
      </c>
      <c r="E64" s="8" t="s">
        <v>422</v>
      </c>
      <c r="F64" s="9">
        <v>1</v>
      </c>
      <c r="G64" s="9"/>
      <c r="H64" s="63"/>
      <c r="I64" s="52"/>
      <c r="J64" s="53">
        <f>+[1]RRHH!I41</f>
        <v>13546</v>
      </c>
      <c r="K64" s="66"/>
      <c r="L64" s="52"/>
      <c r="M64" s="53">
        <f>+[1]RRHH!K41</f>
        <v>16932.5</v>
      </c>
      <c r="N64" s="66"/>
      <c r="O64" s="52"/>
      <c r="P64" s="53">
        <f>+[1]RRHH!M41</f>
        <v>21165.625</v>
      </c>
      <c r="Q64" s="66"/>
      <c r="R64" s="52">
        <f t="shared" si="7"/>
        <v>0</v>
      </c>
      <c r="S64" s="53">
        <f t="shared" si="7"/>
        <v>51644.125</v>
      </c>
      <c r="T64" s="54">
        <f t="shared" si="7"/>
        <v>0</v>
      </c>
      <c r="U64" s="55">
        <f t="shared" si="1"/>
        <v>51644.125</v>
      </c>
    </row>
    <row r="65" spans="1:94" ht="14.45" hidden="1" x14ac:dyDescent="0.3">
      <c r="A65" s="62" t="s">
        <v>88</v>
      </c>
      <c r="B65" s="8" t="s">
        <v>177</v>
      </c>
      <c r="C65" s="8" t="s">
        <v>169</v>
      </c>
      <c r="D65" s="2" t="s">
        <v>94</v>
      </c>
      <c r="E65" s="8" t="s">
        <v>422</v>
      </c>
      <c r="F65" s="9">
        <v>1</v>
      </c>
      <c r="G65" s="9"/>
      <c r="H65" s="63"/>
      <c r="I65" s="52"/>
      <c r="J65" s="53">
        <f>+[1]RRHH!I42</f>
        <v>13546</v>
      </c>
      <c r="K65" s="66"/>
      <c r="L65" s="52"/>
      <c r="M65" s="53">
        <f>+[1]RRHH!K42</f>
        <v>16932.5</v>
      </c>
      <c r="N65" s="66"/>
      <c r="O65" s="52"/>
      <c r="P65" s="53">
        <f>+[1]RRHH!M42</f>
        <v>21165.625</v>
      </c>
      <c r="Q65" s="66"/>
      <c r="R65" s="52">
        <f t="shared" si="7"/>
        <v>0</v>
      </c>
      <c r="S65" s="53">
        <f t="shared" si="7"/>
        <v>51644.125</v>
      </c>
      <c r="T65" s="54">
        <f t="shared" si="7"/>
        <v>0</v>
      </c>
      <c r="U65" s="55">
        <f t="shared" si="1"/>
        <v>51644.125</v>
      </c>
    </row>
    <row r="66" spans="1:94" ht="14.45" hidden="1" x14ac:dyDescent="0.3">
      <c r="A66" s="62" t="s">
        <v>88</v>
      </c>
      <c r="B66" s="8" t="s">
        <v>178</v>
      </c>
      <c r="C66" s="8" t="s">
        <v>179</v>
      </c>
      <c r="D66" s="2" t="s">
        <v>94</v>
      </c>
      <c r="E66" s="8" t="s">
        <v>422</v>
      </c>
      <c r="F66" s="9">
        <v>1</v>
      </c>
      <c r="G66" s="9"/>
      <c r="H66" s="63"/>
      <c r="I66" s="52"/>
      <c r="J66" s="53">
        <f>+[1]RRHH!I43</f>
        <v>12563.2</v>
      </c>
      <c r="K66" s="66"/>
      <c r="L66" s="52"/>
      <c r="M66" s="53">
        <f>+[1]RRHH!K43</f>
        <v>15704</v>
      </c>
      <c r="N66" s="66"/>
      <c r="O66" s="52"/>
      <c r="P66" s="53">
        <f>+[1]RRHH!M43</f>
        <v>19630</v>
      </c>
      <c r="Q66" s="66"/>
      <c r="R66" s="52">
        <f t="shared" si="7"/>
        <v>0</v>
      </c>
      <c r="S66" s="53">
        <f t="shared" si="7"/>
        <v>47897.2</v>
      </c>
      <c r="T66" s="54">
        <f t="shared" si="7"/>
        <v>0</v>
      </c>
      <c r="U66" s="55">
        <f t="shared" si="1"/>
        <v>47897.2</v>
      </c>
    </row>
    <row r="67" spans="1:94" ht="14.45" hidden="1" x14ac:dyDescent="0.3">
      <c r="A67" s="62" t="s">
        <v>88</v>
      </c>
      <c r="B67" s="8" t="s">
        <v>180</v>
      </c>
      <c r="C67" s="8" t="s">
        <v>181</v>
      </c>
      <c r="D67" s="2" t="s">
        <v>94</v>
      </c>
      <c r="E67" s="8" t="s">
        <v>422</v>
      </c>
      <c r="F67" s="9">
        <v>1</v>
      </c>
      <c r="G67" s="9"/>
      <c r="H67" s="63"/>
      <c r="I67" s="52"/>
      <c r="J67" s="53">
        <f>+[1]RRHH!I44</f>
        <v>13546</v>
      </c>
      <c r="K67" s="66"/>
      <c r="L67" s="52"/>
      <c r="M67" s="53">
        <f>+[1]RRHH!K44</f>
        <v>16932.5</v>
      </c>
      <c r="N67" s="66"/>
      <c r="O67" s="52"/>
      <c r="P67" s="53">
        <f>+[1]RRHH!M44</f>
        <v>21165.625</v>
      </c>
      <c r="Q67" s="66"/>
      <c r="R67" s="52">
        <f t="shared" si="7"/>
        <v>0</v>
      </c>
      <c r="S67" s="53">
        <f t="shared" si="7"/>
        <v>51644.125</v>
      </c>
      <c r="T67" s="54">
        <f t="shared" si="7"/>
        <v>0</v>
      </c>
      <c r="U67" s="55">
        <f t="shared" si="1"/>
        <v>51644.125</v>
      </c>
    </row>
    <row r="68" spans="1:94" ht="28.9" hidden="1" x14ac:dyDescent="0.3">
      <c r="A68" s="62" t="s">
        <v>88</v>
      </c>
      <c r="B68" s="8" t="s">
        <v>182</v>
      </c>
      <c r="C68" s="8" t="s">
        <v>181</v>
      </c>
      <c r="D68" s="2" t="s">
        <v>94</v>
      </c>
      <c r="E68" s="8" t="s">
        <v>422</v>
      </c>
      <c r="F68" s="9">
        <v>1</v>
      </c>
      <c r="G68" s="9"/>
      <c r="H68" s="63"/>
      <c r="I68" s="52"/>
      <c r="J68" s="53">
        <f>+[1]RRHH!I45</f>
        <v>12563.2</v>
      </c>
      <c r="K68" s="66"/>
      <c r="L68" s="52"/>
      <c r="M68" s="53">
        <f>+[1]RRHH!K45</f>
        <v>15704</v>
      </c>
      <c r="N68" s="66"/>
      <c r="O68" s="52"/>
      <c r="P68" s="53">
        <f>+[1]RRHH!M45</f>
        <v>19630</v>
      </c>
      <c r="Q68" s="66"/>
      <c r="R68" s="52">
        <f t="shared" si="7"/>
        <v>0</v>
      </c>
      <c r="S68" s="53">
        <f t="shared" si="7"/>
        <v>47897.2</v>
      </c>
      <c r="T68" s="54">
        <f t="shared" si="7"/>
        <v>0</v>
      </c>
      <c r="U68" s="55">
        <f t="shared" si="1"/>
        <v>47897.2</v>
      </c>
    </row>
    <row r="69" spans="1:94" ht="28.9" hidden="1" x14ac:dyDescent="0.3">
      <c r="A69" s="62" t="s">
        <v>88</v>
      </c>
      <c r="B69" s="8" t="s">
        <v>183</v>
      </c>
      <c r="C69" s="8" t="s">
        <v>184</v>
      </c>
      <c r="D69" s="2" t="s">
        <v>94</v>
      </c>
      <c r="E69" s="8" t="s">
        <v>422</v>
      </c>
      <c r="F69" s="9">
        <v>6</v>
      </c>
      <c r="G69" s="9"/>
      <c r="H69" s="63"/>
      <c r="I69" s="52"/>
      <c r="J69" s="53">
        <f>+[1]RRHH!I46</f>
        <v>101300.16</v>
      </c>
      <c r="K69" s="66"/>
      <c r="L69" s="52"/>
      <c r="M69" s="53">
        <f>+[1]RRHH!K46</f>
        <v>126625.20000000001</v>
      </c>
      <c r="N69" s="66"/>
      <c r="O69" s="52"/>
      <c r="P69" s="53">
        <f>+[1]RRHH!M46</f>
        <v>158281.5</v>
      </c>
      <c r="Q69" s="66"/>
      <c r="R69" s="52">
        <f t="shared" si="7"/>
        <v>0</v>
      </c>
      <c r="S69" s="53">
        <f t="shared" si="7"/>
        <v>386206.86</v>
      </c>
      <c r="T69" s="54">
        <f t="shared" si="7"/>
        <v>0</v>
      </c>
      <c r="U69" s="55">
        <f t="shared" si="1"/>
        <v>386206.86</v>
      </c>
    </row>
    <row r="70" spans="1:94" ht="28.9" hidden="1" x14ac:dyDescent="0.3">
      <c r="A70" s="62" t="s">
        <v>88</v>
      </c>
      <c r="B70" s="8" t="s">
        <v>116</v>
      </c>
      <c r="C70" s="8" t="s">
        <v>117</v>
      </c>
      <c r="D70" s="2" t="s">
        <v>140</v>
      </c>
      <c r="E70" s="8" t="s">
        <v>422</v>
      </c>
      <c r="F70" s="9">
        <v>70</v>
      </c>
      <c r="G70" s="9"/>
      <c r="H70" s="63"/>
      <c r="I70" s="52"/>
      <c r="J70" s="53">
        <f>+(2800*12*70)/15</f>
        <v>156800</v>
      </c>
      <c r="K70" s="66"/>
      <c r="L70" s="52"/>
      <c r="M70" s="53">
        <f>+(3100*12*70)/15</f>
        <v>173600</v>
      </c>
      <c r="N70" s="66"/>
      <c r="O70" s="52"/>
      <c r="P70" s="53">
        <f>+(3260*12*70)/15</f>
        <v>182560</v>
      </c>
      <c r="Q70" s="66"/>
      <c r="R70" s="52">
        <f t="shared" si="7"/>
        <v>0</v>
      </c>
      <c r="S70" s="53">
        <f t="shared" si="7"/>
        <v>512960</v>
      </c>
      <c r="T70" s="54">
        <f t="shared" si="7"/>
        <v>0</v>
      </c>
      <c r="U70" s="55">
        <f t="shared" si="1"/>
        <v>512960</v>
      </c>
    </row>
    <row r="71" spans="1:94" ht="14.45" hidden="1" x14ac:dyDescent="0.3">
      <c r="A71" s="37" t="s">
        <v>88</v>
      </c>
      <c r="B71" s="38" t="s">
        <v>119</v>
      </c>
      <c r="C71" s="39"/>
      <c r="D71" s="40"/>
      <c r="E71" s="40"/>
      <c r="F71" s="41"/>
      <c r="G71" s="41"/>
      <c r="H71" s="42"/>
      <c r="I71" s="43"/>
      <c r="J71" s="42"/>
      <c r="K71" s="44"/>
      <c r="L71" s="43"/>
      <c r="M71" s="42"/>
      <c r="N71" s="44"/>
      <c r="O71" s="43"/>
      <c r="P71" s="42"/>
      <c r="Q71" s="44"/>
      <c r="R71" s="43"/>
      <c r="S71" s="42"/>
      <c r="T71" s="42"/>
      <c r="U71" s="45"/>
    </row>
    <row r="72" spans="1:94" s="4" customFormat="1" ht="14.45" hidden="1" x14ac:dyDescent="0.3">
      <c r="A72" s="46" t="s">
        <v>88</v>
      </c>
      <c r="B72" s="2" t="s">
        <v>120</v>
      </c>
      <c r="C72" s="68" t="s">
        <v>185</v>
      </c>
      <c r="D72" s="68" t="s">
        <v>122</v>
      </c>
      <c r="E72" s="5" t="s">
        <v>423</v>
      </c>
      <c r="F72" s="75"/>
      <c r="G72" s="75"/>
      <c r="H72" s="76"/>
      <c r="I72" s="59">
        <v>24000</v>
      </c>
      <c r="J72" s="60"/>
      <c r="K72" s="61"/>
      <c r="L72" s="59">
        <v>48000</v>
      </c>
      <c r="M72" s="60"/>
      <c r="N72" s="61"/>
      <c r="O72" s="59"/>
      <c r="P72" s="60"/>
      <c r="Q72" s="61"/>
      <c r="R72" s="52">
        <f t="shared" ref="R72:T73" si="8">+O72+L72+I72</f>
        <v>72000</v>
      </c>
      <c r="S72" s="53">
        <f t="shared" si="8"/>
        <v>0</v>
      </c>
      <c r="T72" s="54">
        <f t="shared" si="8"/>
        <v>0</v>
      </c>
      <c r="U72" s="55">
        <f t="shared" si="1"/>
        <v>72000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</row>
    <row r="73" spans="1:94" ht="14.45" hidden="1" x14ac:dyDescent="0.3">
      <c r="A73" s="46" t="s">
        <v>88</v>
      </c>
      <c r="B73" s="2" t="s">
        <v>186</v>
      </c>
      <c r="C73" s="2" t="s">
        <v>187</v>
      </c>
      <c r="D73" s="2" t="s">
        <v>127</v>
      </c>
      <c r="E73" s="8" t="s">
        <v>424</v>
      </c>
      <c r="F73" s="47"/>
      <c r="G73" s="47"/>
      <c r="H73" s="48"/>
      <c r="I73" s="59">
        <v>30000</v>
      </c>
      <c r="J73" s="60"/>
      <c r="K73" s="61"/>
      <c r="L73" s="59">
        <v>45000</v>
      </c>
      <c r="M73" s="60"/>
      <c r="N73" s="61"/>
      <c r="O73" s="59">
        <v>50000</v>
      </c>
      <c r="P73" s="60"/>
      <c r="Q73" s="61"/>
      <c r="R73" s="52">
        <f t="shared" si="8"/>
        <v>125000</v>
      </c>
      <c r="S73" s="53">
        <f t="shared" si="8"/>
        <v>0</v>
      </c>
      <c r="T73" s="54">
        <f t="shared" si="8"/>
        <v>0</v>
      </c>
      <c r="U73" s="55">
        <f t="shared" ref="U73:U135" si="9">+R73+S73+T73</f>
        <v>125000</v>
      </c>
    </row>
    <row r="74" spans="1:94" ht="14.45" hidden="1" x14ac:dyDescent="0.3">
      <c r="A74" s="37" t="s">
        <v>88</v>
      </c>
      <c r="B74" s="38" t="s">
        <v>128</v>
      </c>
      <c r="C74" s="39"/>
      <c r="D74" s="40"/>
      <c r="E74" s="40"/>
      <c r="F74" s="41"/>
      <c r="G74" s="41"/>
      <c r="H74" s="42"/>
      <c r="I74" s="43"/>
      <c r="J74" s="42"/>
      <c r="K74" s="44"/>
      <c r="L74" s="43"/>
      <c r="M74" s="42"/>
      <c r="N74" s="44"/>
      <c r="O74" s="43"/>
      <c r="P74" s="42"/>
      <c r="Q74" s="44"/>
      <c r="R74" s="43"/>
      <c r="S74" s="42"/>
      <c r="T74" s="42"/>
      <c r="U74" s="45"/>
    </row>
    <row r="75" spans="1:94" ht="43.15" hidden="1" x14ac:dyDescent="0.3">
      <c r="A75" s="46" t="s">
        <v>88</v>
      </c>
      <c r="B75" s="2" t="s">
        <v>144</v>
      </c>
      <c r="C75" s="8" t="s">
        <v>144</v>
      </c>
      <c r="D75" s="2" t="s">
        <v>188</v>
      </c>
      <c r="E75" s="8" t="s">
        <v>425</v>
      </c>
      <c r="F75" s="9"/>
      <c r="G75" s="9"/>
      <c r="H75" s="63"/>
      <c r="I75" s="52">
        <v>34300</v>
      </c>
      <c r="J75" s="53"/>
      <c r="K75" s="66"/>
      <c r="L75" s="52">
        <f>+I75*1.35</f>
        <v>46305</v>
      </c>
      <c r="M75" s="53"/>
      <c r="N75" s="66"/>
      <c r="O75" s="52">
        <f>+L75*1.45</f>
        <v>67142.25</v>
      </c>
      <c r="P75" s="53"/>
      <c r="Q75" s="66"/>
      <c r="R75" s="52">
        <f t="shared" ref="R75:T76" si="10">+O75+L75+I75</f>
        <v>147747.25</v>
      </c>
      <c r="S75" s="53">
        <f t="shared" si="10"/>
        <v>0</v>
      </c>
      <c r="T75" s="54">
        <f t="shared" si="10"/>
        <v>0</v>
      </c>
      <c r="U75" s="55">
        <f t="shared" si="9"/>
        <v>147747.25</v>
      </c>
    </row>
    <row r="76" spans="1:94" ht="43.15" hidden="1" x14ac:dyDescent="0.3">
      <c r="A76" s="46" t="s">
        <v>88</v>
      </c>
      <c r="B76" s="2" t="s">
        <v>189</v>
      </c>
      <c r="C76" s="8" t="s">
        <v>189</v>
      </c>
      <c r="D76" s="2" t="s">
        <v>188</v>
      </c>
      <c r="E76" s="8" t="s">
        <v>425</v>
      </c>
      <c r="F76" s="9"/>
      <c r="G76" s="9"/>
      <c r="H76" s="63"/>
      <c r="I76" s="77">
        <v>12000</v>
      </c>
      <c r="J76" s="7"/>
      <c r="K76" s="78"/>
      <c r="L76" s="77">
        <f t="shared" ref="L76:O76" si="11">400*2*15</f>
        <v>12000</v>
      </c>
      <c r="M76" s="7"/>
      <c r="N76" s="78"/>
      <c r="O76" s="77">
        <f t="shared" si="11"/>
        <v>12000</v>
      </c>
      <c r="P76" s="7"/>
      <c r="Q76" s="78"/>
      <c r="R76" s="52">
        <f t="shared" si="10"/>
        <v>36000</v>
      </c>
      <c r="S76" s="53">
        <f t="shared" si="10"/>
        <v>0</v>
      </c>
      <c r="T76" s="54">
        <f t="shared" si="10"/>
        <v>0</v>
      </c>
      <c r="U76" s="55">
        <f t="shared" si="9"/>
        <v>36000</v>
      </c>
    </row>
    <row r="77" spans="1:94" ht="14.45" hidden="1" x14ac:dyDescent="0.3">
      <c r="A77" s="37" t="s">
        <v>88</v>
      </c>
      <c r="B77" s="38" t="s">
        <v>190</v>
      </c>
      <c r="C77" s="39"/>
      <c r="D77" s="40"/>
      <c r="E77" s="40"/>
      <c r="F77" s="41"/>
      <c r="G77" s="41"/>
      <c r="H77" s="42"/>
      <c r="I77" s="43"/>
      <c r="J77" s="42"/>
      <c r="K77" s="44"/>
      <c r="L77" s="43"/>
      <c r="M77" s="42"/>
      <c r="N77" s="44"/>
      <c r="O77" s="43"/>
      <c r="P77" s="42"/>
      <c r="Q77" s="44"/>
      <c r="R77" s="43"/>
      <c r="S77" s="42"/>
      <c r="T77" s="42"/>
      <c r="U77" s="45"/>
    </row>
    <row r="78" spans="1:94" ht="28.9" hidden="1" x14ac:dyDescent="0.3">
      <c r="A78" s="79" t="s">
        <v>88</v>
      </c>
      <c r="B78" s="5" t="s">
        <v>1</v>
      </c>
      <c r="C78" s="5" t="s">
        <v>191</v>
      </c>
      <c r="D78" s="68" t="s">
        <v>124</v>
      </c>
      <c r="E78" s="2" t="s">
        <v>124</v>
      </c>
      <c r="F78" s="6"/>
      <c r="G78" s="6"/>
      <c r="H78" s="80"/>
      <c r="I78" s="77">
        <v>17000</v>
      </c>
      <c r="J78" s="7"/>
      <c r="K78" s="78"/>
      <c r="L78" s="77">
        <v>17000</v>
      </c>
      <c r="M78" s="7"/>
      <c r="N78" s="78"/>
      <c r="O78" s="77">
        <v>0</v>
      </c>
      <c r="P78" s="7"/>
      <c r="Q78" s="78"/>
      <c r="R78" s="52">
        <f t="shared" ref="R78:T78" si="12">+O78+L78+I78</f>
        <v>34000</v>
      </c>
      <c r="S78" s="53">
        <f t="shared" si="12"/>
        <v>0</v>
      </c>
      <c r="T78" s="54">
        <f t="shared" si="12"/>
        <v>0</v>
      </c>
      <c r="U78" s="55">
        <f t="shared" si="9"/>
        <v>34000</v>
      </c>
    </row>
    <row r="79" spans="1:94" ht="14.45" hidden="1" x14ac:dyDescent="0.3">
      <c r="A79" s="27" t="s">
        <v>88</v>
      </c>
      <c r="B79" s="28" t="s">
        <v>192</v>
      </c>
      <c r="C79" s="29"/>
      <c r="D79" s="30"/>
      <c r="E79" s="30"/>
      <c r="F79" s="31"/>
      <c r="G79" s="31"/>
      <c r="H79" s="32"/>
      <c r="I79" s="33"/>
      <c r="J79" s="34"/>
      <c r="K79" s="35"/>
      <c r="L79" s="33"/>
      <c r="M79" s="34"/>
      <c r="N79" s="35"/>
      <c r="O79" s="33"/>
      <c r="P79" s="34"/>
      <c r="Q79" s="35"/>
      <c r="R79" s="33"/>
      <c r="S79" s="34"/>
      <c r="T79" s="34"/>
      <c r="U79" s="36"/>
    </row>
    <row r="80" spans="1:94" ht="14.45" hidden="1" x14ac:dyDescent="0.3">
      <c r="A80" s="37" t="s">
        <v>88</v>
      </c>
      <c r="B80" s="38" t="s">
        <v>193</v>
      </c>
      <c r="C80" s="39"/>
      <c r="D80" s="40"/>
      <c r="E80" s="40"/>
      <c r="F80" s="41"/>
      <c r="G80" s="41"/>
      <c r="H80" s="42"/>
      <c r="I80" s="43"/>
      <c r="J80" s="42"/>
      <c r="K80" s="44"/>
      <c r="L80" s="43"/>
      <c r="M80" s="42"/>
      <c r="N80" s="44"/>
      <c r="O80" s="43"/>
      <c r="P80" s="42"/>
      <c r="Q80" s="44"/>
      <c r="R80" s="43"/>
      <c r="S80" s="42"/>
      <c r="T80" s="42"/>
      <c r="U80" s="45"/>
    </row>
    <row r="81" spans="1:21" ht="28.9" hidden="1" x14ac:dyDescent="0.3">
      <c r="A81" s="62" t="s">
        <v>88</v>
      </c>
      <c r="B81" s="8" t="s">
        <v>194</v>
      </c>
      <c r="C81" s="8" t="s">
        <v>195</v>
      </c>
      <c r="D81" s="2" t="s">
        <v>196</v>
      </c>
      <c r="E81" s="8" t="s">
        <v>423</v>
      </c>
      <c r="F81" s="9"/>
      <c r="G81" s="9"/>
      <c r="H81" s="63"/>
      <c r="J81" s="52">
        <v>1852891.6923076923</v>
      </c>
      <c r="K81" s="66"/>
      <c r="M81" s="52">
        <f>(132589*16+177905*5)/13*10</f>
        <v>2316114.6153846155</v>
      </c>
      <c r="N81" s="66"/>
      <c r="P81" s="52">
        <f>(132589*16+177905*5)/13*13</f>
        <v>3010949</v>
      </c>
      <c r="Q81" s="66"/>
      <c r="R81" s="52">
        <f>+O81+L81+I81</f>
        <v>0</v>
      </c>
      <c r="S81" s="53">
        <f>+P81+M81+J81</f>
        <v>7179955.307692308</v>
      </c>
      <c r="T81" s="54">
        <f>+Q81+N81+K81</f>
        <v>0</v>
      </c>
      <c r="U81" s="55">
        <f t="shared" si="9"/>
        <v>7179955.307692308</v>
      </c>
    </row>
    <row r="82" spans="1:21" ht="28.9" hidden="1" x14ac:dyDescent="0.3">
      <c r="A82" s="62" t="s">
        <v>88</v>
      </c>
      <c r="B82" s="8" t="s">
        <v>197</v>
      </c>
      <c r="C82" s="8" t="s">
        <v>198</v>
      </c>
      <c r="D82" s="2" t="s">
        <v>127</v>
      </c>
      <c r="E82" s="8" t="s">
        <v>424</v>
      </c>
      <c r="F82" s="9"/>
      <c r="G82" s="9"/>
      <c r="H82" s="63"/>
      <c r="I82" s="52">
        <v>80000</v>
      </c>
      <c r="J82" s="53"/>
      <c r="K82" s="66"/>
      <c r="L82" s="52">
        <v>120000</v>
      </c>
      <c r="M82" s="53"/>
      <c r="N82" s="66"/>
      <c r="O82" s="52">
        <v>130000</v>
      </c>
      <c r="P82" s="53"/>
      <c r="Q82" s="66"/>
      <c r="R82" s="52">
        <f t="shared" ref="R82:T82" si="13">+O82+L82+I82</f>
        <v>330000</v>
      </c>
      <c r="S82" s="53">
        <f t="shared" si="13"/>
        <v>0</v>
      </c>
      <c r="T82" s="54">
        <f t="shared" si="13"/>
        <v>0</v>
      </c>
      <c r="U82" s="55">
        <f t="shared" si="9"/>
        <v>330000</v>
      </c>
    </row>
    <row r="83" spans="1:21" ht="14.45" hidden="1" x14ac:dyDescent="0.3">
      <c r="A83" s="37" t="s">
        <v>88</v>
      </c>
      <c r="B83" s="38" t="s">
        <v>128</v>
      </c>
      <c r="C83" s="39"/>
      <c r="D83" s="40"/>
      <c r="E83" s="40"/>
      <c r="F83" s="41"/>
      <c r="G83" s="41"/>
      <c r="H83" s="42"/>
      <c r="I83" s="43"/>
      <c r="J83" s="42"/>
      <c r="K83" s="44"/>
      <c r="L83" s="43"/>
      <c r="M83" s="42"/>
      <c r="N83" s="44"/>
      <c r="O83" s="43"/>
      <c r="P83" s="42"/>
      <c r="Q83" s="44"/>
      <c r="R83" s="43"/>
      <c r="S83" s="42"/>
      <c r="T83" s="42"/>
      <c r="U83" s="45"/>
    </row>
    <row r="84" spans="1:21" ht="28.9" hidden="1" x14ac:dyDescent="0.3">
      <c r="A84" s="62" t="s">
        <v>88</v>
      </c>
      <c r="B84" s="8" t="s">
        <v>144</v>
      </c>
      <c r="C84" s="8" t="s">
        <v>198</v>
      </c>
      <c r="D84" s="2" t="s">
        <v>131</v>
      </c>
      <c r="E84" s="8" t="s">
        <v>131</v>
      </c>
      <c r="F84" s="9"/>
      <c r="G84" s="9"/>
      <c r="H84" s="63"/>
      <c r="I84" s="52">
        <v>17640</v>
      </c>
      <c r="J84" s="53"/>
      <c r="K84" s="66"/>
      <c r="L84" s="52">
        <f>+I84*1.35</f>
        <v>23814</v>
      </c>
      <c r="M84" s="53"/>
      <c r="N84" s="66"/>
      <c r="O84" s="52">
        <f>+L84*1.45</f>
        <v>34530.299999999996</v>
      </c>
      <c r="P84" s="53"/>
      <c r="Q84" s="66"/>
      <c r="R84" s="52">
        <f t="shared" ref="R84:T85" si="14">+O84+L84+I84</f>
        <v>75984.299999999988</v>
      </c>
      <c r="S84" s="53">
        <f t="shared" si="14"/>
        <v>0</v>
      </c>
      <c r="T84" s="54">
        <f t="shared" si="14"/>
        <v>0</v>
      </c>
      <c r="U84" s="55">
        <f t="shared" si="9"/>
        <v>75984.299999999988</v>
      </c>
    </row>
    <row r="85" spans="1:21" ht="28.9" hidden="1" x14ac:dyDescent="0.3">
      <c r="A85" s="46" t="s">
        <v>88</v>
      </c>
      <c r="B85" s="2" t="s">
        <v>137</v>
      </c>
      <c r="C85" s="8" t="s">
        <v>198</v>
      </c>
      <c r="D85" s="2" t="s">
        <v>199</v>
      </c>
      <c r="E85" s="8" t="s">
        <v>425</v>
      </c>
      <c r="F85" s="9"/>
      <c r="G85" s="9"/>
      <c r="H85" s="63"/>
      <c r="I85" s="52">
        <v>3000</v>
      </c>
      <c r="J85" s="53"/>
      <c r="K85" s="66"/>
      <c r="L85" s="52">
        <f>+I85*1.3</f>
        <v>3900</v>
      </c>
      <c r="M85" s="53"/>
      <c r="N85" s="66"/>
      <c r="O85" s="52">
        <v>5070</v>
      </c>
      <c r="P85" s="53"/>
      <c r="Q85" s="66"/>
      <c r="R85" s="52">
        <f t="shared" si="14"/>
        <v>11970</v>
      </c>
      <c r="S85" s="53">
        <f t="shared" si="14"/>
        <v>0</v>
      </c>
      <c r="T85" s="54">
        <f t="shared" si="14"/>
        <v>0</v>
      </c>
      <c r="U85" s="55">
        <f t="shared" si="9"/>
        <v>11970</v>
      </c>
    </row>
    <row r="86" spans="1:21" ht="14.45" hidden="1" x14ac:dyDescent="0.3">
      <c r="A86" s="27" t="s">
        <v>88</v>
      </c>
      <c r="B86" s="28" t="s">
        <v>200</v>
      </c>
      <c r="C86" s="29"/>
      <c r="D86" s="30"/>
      <c r="E86" s="30"/>
      <c r="F86" s="31"/>
      <c r="G86" s="31"/>
      <c r="H86" s="32"/>
      <c r="I86" s="33"/>
      <c r="J86" s="34"/>
      <c r="K86" s="35"/>
      <c r="L86" s="33"/>
      <c r="M86" s="34"/>
      <c r="N86" s="35"/>
      <c r="O86" s="33"/>
      <c r="P86" s="34"/>
      <c r="Q86" s="35"/>
      <c r="R86" s="33"/>
      <c r="S86" s="34"/>
      <c r="T86" s="34"/>
      <c r="U86" s="36"/>
    </row>
    <row r="87" spans="1:21" ht="14.45" hidden="1" x14ac:dyDescent="0.3">
      <c r="A87" s="62" t="s">
        <v>88</v>
      </c>
      <c r="B87" s="8" t="s">
        <v>201</v>
      </c>
      <c r="C87" s="8" t="s">
        <v>202</v>
      </c>
      <c r="D87" s="2" t="s">
        <v>94</v>
      </c>
      <c r="E87" s="8" t="s">
        <v>422</v>
      </c>
      <c r="F87" s="9">
        <v>3</v>
      </c>
      <c r="G87" s="9"/>
      <c r="H87" s="63"/>
      <c r="I87" s="52"/>
      <c r="J87" s="53">
        <f>+[1]RRHH!I47</f>
        <v>37689.599999999999</v>
      </c>
      <c r="K87" s="66"/>
      <c r="L87" s="52"/>
      <c r="M87" s="53">
        <f>+[1]RRHH!K47</f>
        <v>47112</v>
      </c>
      <c r="N87" s="66"/>
      <c r="O87" s="52"/>
      <c r="P87" s="53">
        <f>+[1]RRHH!M47</f>
        <v>58890</v>
      </c>
      <c r="Q87" s="66"/>
      <c r="R87" s="52">
        <f t="shared" ref="R87:T89" si="15">+O87+L87+I87</f>
        <v>0</v>
      </c>
      <c r="S87" s="53">
        <f t="shared" si="15"/>
        <v>143691.6</v>
      </c>
      <c r="T87" s="54">
        <f t="shared" si="15"/>
        <v>0</v>
      </c>
      <c r="U87" s="55">
        <f t="shared" si="9"/>
        <v>143691.6</v>
      </c>
    </row>
    <row r="88" spans="1:21" ht="28.9" hidden="1" x14ac:dyDescent="0.3">
      <c r="A88" s="46" t="s">
        <v>88</v>
      </c>
      <c r="B88" s="2" t="s">
        <v>203</v>
      </c>
      <c r="C88" s="8" t="s">
        <v>204</v>
      </c>
      <c r="D88" s="2" t="s">
        <v>94</v>
      </c>
      <c r="E88" s="8" t="s">
        <v>422</v>
      </c>
      <c r="F88" s="9">
        <v>1</v>
      </c>
      <c r="G88" s="9"/>
      <c r="H88" s="63"/>
      <c r="I88" s="52"/>
      <c r="J88" s="53">
        <f>+[1]RRHH!I48</f>
        <v>33766.720000000001</v>
      </c>
      <c r="K88" s="66"/>
      <c r="L88" s="52"/>
      <c r="M88" s="53">
        <f>+[1]RRHH!K48</f>
        <v>42208.4</v>
      </c>
      <c r="N88" s="66"/>
      <c r="O88" s="52"/>
      <c r="P88" s="53">
        <f>+[1]RRHH!M48</f>
        <v>52760.5</v>
      </c>
      <c r="Q88" s="66"/>
      <c r="R88" s="52">
        <f t="shared" si="15"/>
        <v>0</v>
      </c>
      <c r="S88" s="53">
        <f t="shared" si="15"/>
        <v>128735.62</v>
      </c>
      <c r="T88" s="54">
        <f t="shared" si="15"/>
        <v>0</v>
      </c>
      <c r="U88" s="55">
        <f t="shared" si="9"/>
        <v>128735.62</v>
      </c>
    </row>
    <row r="89" spans="1:21" s="209" customFormat="1" ht="14.45" hidden="1" x14ac:dyDescent="0.3">
      <c r="A89" s="195" t="s">
        <v>88</v>
      </c>
      <c r="B89" s="196" t="s">
        <v>205</v>
      </c>
      <c r="C89" s="196" t="s">
        <v>206</v>
      </c>
      <c r="D89" s="196" t="s">
        <v>122</v>
      </c>
      <c r="E89" s="197" t="s">
        <v>423</v>
      </c>
      <c r="F89" s="198">
        <v>15</v>
      </c>
      <c r="G89" s="81"/>
      <c r="H89" s="82"/>
      <c r="I89" s="199"/>
      <c r="J89" s="200"/>
      <c r="K89" s="201"/>
      <c r="L89" s="202">
        <f>1200*15</f>
        <v>18000</v>
      </c>
      <c r="M89" s="203"/>
      <c r="N89" s="204"/>
      <c r="O89" s="202"/>
      <c r="P89" s="203"/>
      <c r="Q89" s="204"/>
      <c r="R89" s="205">
        <f t="shared" si="15"/>
        <v>18000</v>
      </c>
      <c r="S89" s="206">
        <f t="shared" si="15"/>
        <v>0</v>
      </c>
      <c r="T89" s="207">
        <f t="shared" si="15"/>
        <v>0</v>
      </c>
      <c r="U89" s="208">
        <f t="shared" si="9"/>
        <v>18000</v>
      </c>
    </row>
    <row r="90" spans="1:21" ht="14.45" hidden="1" x14ac:dyDescent="0.3">
      <c r="A90" s="69" t="s">
        <v>88</v>
      </c>
      <c r="B90" s="70" t="s">
        <v>207</v>
      </c>
      <c r="C90" s="71"/>
      <c r="D90" s="72"/>
      <c r="E90" s="72"/>
      <c r="F90" s="73"/>
      <c r="G90" s="73"/>
      <c r="H90" s="74"/>
      <c r="I90" s="23"/>
      <c r="J90" s="24"/>
      <c r="K90" s="25"/>
      <c r="L90" s="23"/>
      <c r="M90" s="24"/>
      <c r="N90" s="25"/>
      <c r="O90" s="23"/>
      <c r="P90" s="24"/>
      <c r="Q90" s="25"/>
      <c r="R90" s="23"/>
      <c r="S90" s="24"/>
      <c r="T90" s="24"/>
      <c r="U90" s="26"/>
    </row>
    <row r="91" spans="1:21" ht="14.45" hidden="1" x14ac:dyDescent="0.3">
      <c r="A91" s="37" t="s">
        <v>88</v>
      </c>
      <c r="B91" s="38" t="s">
        <v>91</v>
      </c>
      <c r="C91" s="39"/>
      <c r="D91" s="40"/>
      <c r="E91" s="40"/>
      <c r="F91" s="41"/>
      <c r="G91" s="41"/>
      <c r="H91" s="42"/>
      <c r="I91" s="43"/>
      <c r="J91" s="42"/>
      <c r="K91" s="44"/>
      <c r="L91" s="43"/>
      <c r="M91" s="42"/>
      <c r="N91" s="44"/>
      <c r="O91" s="43"/>
      <c r="P91" s="42"/>
      <c r="Q91" s="44"/>
      <c r="R91" s="43"/>
      <c r="S91" s="42"/>
      <c r="T91" s="42"/>
      <c r="U91" s="45"/>
    </row>
    <row r="92" spans="1:21" ht="28.9" hidden="1" x14ac:dyDescent="0.3">
      <c r="A92" s="62" t="s">
        <v>88</v>
      </c>
      <c r="B92" s="8" t="s">
        <v>208</v>
      </c>
      <c r="C92" s="8" t="s">
        <v>167</v>
      </c>
      <c r="D92" s="2" t="s">
        <v>94</v>
      </c>
      <c r="E92" s="8" t="s">
        <v>422</v>
      </c>
      <c r="F92" s="9">
        <v>1</v>
      </c>
      <c r="G92" s="9"/>
      <c r="H92" s="63"/>
      <c r="I92" s="52"/>
      <c r="J92" s="53">
        <f>+[1]RRHH!I49</f>
        <v>15705.04</v>
      </c>
      <c r="K92" s="66"/>
      <c r="L92" s="52"/>
      <c r="M92" s="53">
        <f>+[1]RRHH!K49</f>
        <v>19631.300000000003</v>
      </c>
      <c r="N92" s="66"/>
      <c r="O92" s="52"/>
      <c r="P92" s="53">
        <f>+[1]RRHH!M49</f>
        <v>24539.125000000004</v>
      </c>
      <c r="Q92" s="66"/>
      <c r="R92" s="52">
        <f t="shared" ref="R92:T95" si="16">+O92+L92+I92</f>
        <v>0</v>
      </c>
      <c r="S92" s="53">
        <f t="shared" si="16"/>
        <v>59875.465000000004</v>
      </c>
      <c r="T92" s="54">
        <f t="shared" si="16"/>
        <v>0</v>
      </c>
      <c r="U92" s="55">
        <f t="shared" si="9"/>
        <v>59875.465000000004</v>
      </c>
    </row>
    <row r="93" spans="1:21" ht="28.9" hidden="1" x14ac:dyDescent="0.3">
      <c r="A93" s="62" t="s">
        <v>88</v>
      </c>
      <c r="B93" s="8" t="s">
        <v>209</v>
      </c>
      <c r="C93" s="8" t="s">
        <v>210</v>
      </c>
      <c r="D93" s="2" t="s">
        <v>94</v>
      </c>
      <c r="E93" s="8" t="s">
        <v>422</v>
      </c>
      <c r="F93" s="9">
        <v>12</v>
      </c>
      <c r="G93" s="9"/>
      <c r="H93" s="63"/>
      <c r="I93" s="52"/>
      <c r="J93" s="53">
        <f>+[1]RRHH!I50</f>
        <v>202600.32000000001</v>
      </c>
      <c r="K93" s="66"/>
      <c r="L93" s="52"/>
      <c r="M93" s="53">
        <f>+[1]RRHH!K50</f>
        <v>253250.40000000002</v>
      </c>
      <c r="N93" s="66"/>
      <c r="O93" s="52"/>
      <c r="P93" s="53">
        <f>+[1]RRHH!M50</f>
        <v>316563</v>
      </c>
      <c r="Q93" s="66"/>
      <c r="R93" s="52">
        <f t="shared" si="16"/>
        <v>0</v>
      </c>
      <c r="S93" s="53">
        <f t="shared" si="16"/>
        <v>772413.72</v>
      </c>
      <c r="T93" s="54">
        <f t="shared" si="16"/>
        <v>0</v>
      </c>
      <c r="U93" s="55">
        <f t="shared" si="9"/>
        <v>772413.72</v>
      </c>
    </row>
    <row r="94" spans="1:21" ht="28.9" hidden="1" x14ac:dyDescent="0.3">
      <c r="A94" s="62" t="s">
        <v>88</v>
      </c>
      <c r="B94" s="8" t="s">
        <v>211</v>
      </c>
      <c r="C94" s="8" t="s">
        <v>212</v>
      </c>
      <c r="D94" s="2" t="s">
        <v>94</v>
      </c>
      <c r="E94" s="8" t="s">
        <v>422</v>
      </c>
      <c r="F94" s="9">
        <v>8</v>
      </c>
      <c r="G94" s="9"/>
      <c r="H94" s="63"/>
      <c r="I94" s="52"/>
      <c r="J94" s="53">
        <f>+[1]RRHH!I51</f>
        <v>84805.760000000009</v>
      </c>
      <c r="K94" s="66"/>
      <c r="L94" s="52"/>
      <c r="M94" s="53">
        <f>+[1]RRHH!K51</f>
        <v>106007.20000000001</v>
      </c>
      <c r="N94" s="66"/>
      <c r="O94" s="52"/>
      <c r="P94" s="53">
        <f>+[1]RRHH!M51</f>
        <v>132509</v>
      </c>
      <c r="Q94" s="66"/>
      <c r="R94" s="52">
        <f t="shared" si="16"/>
        <v>0</v>
      </c>
      <c r="S94" s="53">
        <f t="shared" si="16"/>
        <v>323321.96000000002</v>
      </c>
      <c r="T94" s="54">
        <f t="shared" si="16"/>
        <v>0</v>
      </c>
      <c r="U94" s="55">
        <f t="shared" si="9"/>
        <v>323321.96000000002</v>
      </c>
    </row>
    <row r="95" spans="1:21" ht="28.9" hidden="1" x14ac:dyDescent="0.3">
      <c r="A95" s="62" t="s">
        <v>88</v>
      </c>
      <c r="B95" s="8" t="s">
        <v>140</v>
      </c>
      <c r="C95" s="8" t="s">
        <v>117</v>
      </c>
      <c r="D95" s="2" t="s">
        <v>118</v>
      </c>
      <c r="E95" s="8" t="s">
        <v>422</v>
      </c>
      <c r="F95" s="9">
        <v>21</v>
      </c>
      <c r="G95" s="9"/>
      <c r="H95" s="63"/>
      <c r="I95" s="52"/>
      <c r="J95" s="53">
        <f>+(2800*12*21)/15</f>
        <v>47040</v>
      </c>
      <c r="K95" s="66"/>
      <c r="L95" s="52"/>
      <c r="M95" s="53">
        <f>+(3100*12*21)/15</f>
        <v>52080</v>
      </c>
      <c r="N95" s="66"/>
      <c r="O95" s="52"/>
      <c r="P95" s="53">
        <f>+(3260*12*21)/15</f>
        <v>54768</v>
      </c>
      <c r="Q95" s="66"/>
      <c r="R95" s="52">
        <f t="shared" si="16"/>
        <v>0</v>
      </c>
      <c r="S95" s="53">
        <f t="shared" si="16"/>
        <v>153888</v>
      </c>
      <c r="T95" s="54">
        <f t="shared" si="16"/>
        <v>0</v>
      </c>
      <c r="U95" s="55">
        <f t="shared" si="9"/>
        <v>153888</v>
      </c>
    </row>
    <row r="96" spans="1:21" ht="14.45" hidden="1" x14ac:dyDescent="0.3">
      <c r="A96" s="37" t="s">
        <v>88</v>
      </c>
      <c r="B96" s="38" t="s">
        <v>119</v>
      </c>
      <c r="C96" s="39"/>
      <c r="D96" s="40"/>
      <c r="E96" s="40"/>
      <c r="F96" s="41"/>
      <c r="G96" s="41"/>
      <c r="H96" s="42"/>
      <c r="I96" s="43"/>
      <c r="J96" s="42"/>
      <c r="K96" s="44"/>
      <c r="L96" s="43"/>
      <c r="M96" s="42"/>
      <c r="N96" s="44"/>
      <c r="O96" s="43"/>
      <c r="P96" s="42"/>
      <c r="Q96" s="44"/>
      <c r="R96" s="43"/>
      <c r="S96" s="42"/>
      <c r="T96" s="42"/>
      <c r="U96" s="45"/>
    </row>
    <row r="97" spans="1:94" ht="57.6" hidden="1" x14ac:dyDescent="0.3">
      <c r="A97" s="62" t="s">
        <v>88</v>
      </c>
      <c r="B97" s="8" t="s">
        <v>213</v>
      </c>
      <c r="C97" s="8" t="s">
        <v>214</v>
      </c>
      <c r="D97" s="2" t="s">
        <v>215</v>
      </c>
      <c r="E97" s="8" t="s">
        <v>423</v>
      </c>
      <c r="F97" s="9"/>
      <c r="G97" s="9"/>
      <c r="H97" s="63"/>
      <c r="I97" s="52">
        <v>0</v>
      </c>
      <c r="J97" s="53"/>
      <c r="K97" s="66"/>
      <c r="L97" s="52">
        <v>0</v>
      </c>
      <c r="M97" s="53"/>
      <c r="N97" s="66"/>
      <c r="O97" s="52">
        <v>0</v>
      </c>
      <c r="P97" s="53"/>
      <c r="Q97" s="66"/>
      <c r="R97" s="52">
        <f t="shared" ref="R97:T101" si="17">+O97+L97+I97</f>
        <v>0</v>
      </c>
      <c r="S97" s="53">
        <f t="shared" si="17"/>
        <v>0</v>
      </c>
      <c r="T97" s="54">
        <f t="shared" si="17"/>
        <v>0</v>
      </c>
      <c r="U97" s="55">
        <f t="shared" si="9"/>
        <v>0</v>
      </c>
    </row>
    <row r="98" spans="1:94" ht="43.15" hidden="1" x14ac:dyDescent="0.3">
      <c r="A98" s="62" t="s">
        <v>88</v>
      </c>
      <c r="B98" s="8" t="s">
        <v>216</v>
      </c>
      <c r="C98" s="8" t="s">
        <v>217</v>
      </c>
      <c r="D98" s="2" t="s">
        <v>196</v>
      </c>
      <c r="E98" s="8" t="s">
        <v>423</v>
      </c>
      <c r="F98" s="9"/>
      <c r="G98" s="9"/>
      <c r="H98" s="63"/>
      <c r="I98" s="52"/>
      <c r="J98" s="53"/>
      <c r="K98" s="66"/>
      <c r="L98" s="52"/>
      <c r="M98" s="53"/>
      <c r="N98" s="66"/>
      <c r="O98" s="52"/>
      <c r="P98" s="53"/>
      <c r="Q98" s="66"/>
      <c r="R98" s="52">
        <f t="shared" si="17"/>
        <v>0</v>
      </c>
      <c r="S98" s="53">
        <f t="shared" si="17"/>
        <v>0</v>
      </c>
      <c r="T98" s="54">
        <f t="shared" si="17"/>
        <v>0</v>
      </c>
      <c r="U98" s="55">
        <f t="shared" si="9"/>
        <v>0</v>
      </c>
    </row>
    <row r="99" spans="1:94" ht="14.45" hidden="1" x14ac:dyDescent="0.3">
      <c r="A99" s="62" t="s">
        <v>88</v>
      </c>
      <c r="B99" s="8" t="s">
        <v>216</v>
      </c>
      <c r="C99" s="8" t="s">
        <v>218</v>
      </c>
      <c r="D99" s="2" t="s">
        <v>196</v>
      </c>
      <c r="E99" s="8" t="s">
        <v>423</v>
      </c>
      <c r="F99" s="9"/>
      <c r="G99" s="9"/>
      <c r="H99" s="63"/>
      <c r="I99" s="52"/>
      <c r="J99" s="53">
        <f>18*10*29</f>
        <v>5220</v>
      </c>
      <c r="K99" s="66"/>
      <c r="L99" s="52"/>
      <c r="M99" s="53">
        <f>36*10*29</f>
        <v>10440</v>
      </c>
      <c r="N99" s="66"/>
      <c r="O99" s="52"/>
      <c r="P99" s="53">
        <f>48*10*29</f>
        <v>13920</v>
      </c>
      <c r="Q99" s="66"/>
      <c r="R99" s="52">
        <f t="shared" si="17"/>
        <v>0</v>
      </c>
      <c r="S99" s="53">
        <f t="shared" si="17"/>
        <v>29580</v>
      </c>
      <c r="T99" s="54">
        <f t="shared" si="17"/>
        <v>0</v>
      </c>
      <c r="U99" s="55">
        <f t="shared" si="9"/>
        <v>29580</v>
      </c>
      <c r="V99" s="1">
        <f>180+360+480</f>
        <v>1020</v>
      </c>
      <c r="W99" s="1">
        <f>+U99/V99</f>
        <v>29</v>
      </c>
    </row>
    <row r="100" spans="1:94" ht="14.45" hidden="1" x14ac:dyDescent="0.3">
      <c r="A100" s="62" t="s">
        <v>88</v>
      </c>
      <c r="B100" s="8" t="s">
        <v>219</v>
      </c>
      <c r="C100" s="8" t="s">
        <v>220</v>
      </c>
      <c r="D100" s="2" t="s">
        <v>196</v>
      </c>
      <c r="E100" s="8" t="s">
        <v>423</v>
      </c>
      <c r="F100" s="9"/>
      <c r="G100" s="9"/>
      <c r="H100" s="63"/>
      <c r="I100" s="52">
        <v>0</v>
      </c>
      <c r="J100" s="53"/>
      <c r="K100" s="66"/>
      <c r="L100" s="52"/>
      <c r="M100" s="53">
        <f>9*800*36</f>
        <v>259200</v>
      </c>
      <c r="N100" s="66"/>
      <c r="O100" s="52"/>
      <c r="P100" s="53">
        <f>18*800*36</f>
        <v>518400</v>
      </c>
      <c r="Q100" s="66"/>
      <c r="R100" s="52">
        <f t="shared" si="17"/>
        <v>0</v>
      </c>
      <c r="S100" s="53">
        <f t="shared" si="17"/>
        <v>777600</v>
      </c>
      <c r="T100" s="54">
        <f t="shared" si="17"/>
        <v>0</v>
      </c>
      <c r="U100" s="55">
        <f t="shared" si="9"/>
        <v>777600</v>
      </c>
      <c r="W100" s="1">
        <f>+P99/W99</f>
        <v>480</v>
      </c>
    </row>
    <row r="101" spans="1:94" ht="57.6" hidden="1" x14ac:dyDescent="0.3">
      <c r="A101" s="62" t="s">
        <v>88</v>
      </c>
      <c r="B101" s="8" t="s">
        <v>221</v>
      </c>
      <c r="C101" s="8" t="s">
        <v>222</v>
      </c>
      <c r="D101" s="2" t="s">
        <v>196</v>
      </c>
      <c r="E101" s="8" t="s">
        <v>423</v>
      </c>
      <c r="F101" s="9"/>
      <c r="G101" s="9"/>
      <c r="H101" s="63"/>
      <c r="I101" s="52"/>
      <c r="J101" s="53"/>
      <c r="K101" s="66"/>
      <c r="L101" s="52"/>
      <c r="M101" s="53"/>
      <c r="N101" s="66"/>
      <c r="O101" s="52"/>
      <c r="P101" s="53"/>
      <c r="Q101" s="66"/>
      <c r="R101" s="52">
        <f t="shared" si="17"/>
        <v>0</v>
      </c>
      <c r="S101" s="53">
        <f t="shared" si="17"/>
        <v>0</v>
      </c>
      <c r="T101" s="54">
        <f t="shared" si="17"/>
        <v>0</v>
      </c>
      <c r="U101" s="55">
        <f t="shared" si="9"/>
        <v>0</v>
      </c>
      <c r="W101" s="1">
        <f>+M99/W99</f>
        <v>360</v>
      </c>
    </row>
    <row r="102" spans="1:94" ht="14.45" hidden="1" x14ac:dyDescent="0.3">
      <c r="A102" s="37" t="s">
        <v>88</v>
      </c>
      <c r="B102" s="38" t="s">
        <v>197</v>
      </c>
      <c r="C102" s="39"/>
      <c r="D102" s="40"/>
      <c r="E102" s="40"/>
      <c r="F102" s="41"/>
      <c r="G102" s="41"/>
      <c r="H102" s="42"/>
      <c r="I102" s="43"/>
      <c r="J102" s="42"/>
      <c r="K102" s="44"/>
      <c r="L102" s="43"/>
      <c r="M102" s="42"/>
      <c r="N102" s="44"/>
      <c r="O102" s="43"/>
      <c r="P102" s="42"/>
      <c r="Q102" s="44"/>
      <c r="R102" s="43"/>
      <c r="S102" s="42"/>
      <c r="T102" s="42"/>
      <c r="U102" s="45"/>
    </row>
    <row r="103" spans="1:94" s="3" customFormat="1" ht="43.15" hidden="1" x14ac:dyDescent="0.3">
      <c r="A103" s="62" t="s">
        <v>88</v>
      </c>
      <c r="B103" s="8" t="s">
        <v>223</v>
      </c>
      <c r="C103" s="5" t="s">
        <v>224</v>
      </c>
      <c r="D103" s="68" t="s">
        <v>127</v>
      </c>
      <c r="E103" s="5" t="s">
        <v>424</v>
      </c>
      <c r="F103" s="83"/>
      <c r="G103" s="83"/>
      <c r="H103" s="84"/>
      <c r="I103" s="85">
        <v>102000</v>
      </c>
      <c r="J103" s="86"/>
      <c r="K103" s="87"/>
      <c r="L103" s="85">
        <v>110000</v>
      </c>
      <c r="M103" s="7"/>
      <c r="N103" s="78"/>
      <c r="O103" s="85">
        <v>120000</v>
      </c>
      <c r="P103" s="7"/>
      <c r="Q103" s="78"/>
      <c r="R103" s="52">
        <f t="shared" ref="R103:T103" si="18">+O103+L103+I103</f>
        <v>332000</v>
      </c>
      <c r="S103" s="53">
        <f t="shared" si="18"/>
        <v>0</v>
      </c>
      <c r="T103" s="54">
        <f t="shared" si="18"/>
        <v>0</v>
      </c>
      <c r="U103" s="55">
        <f t="shared" si="9"/>
        <v>332000</v>
      </c>
    </row>
    <row r="104" spans="1:94" ht="14.45" hidden="1" x14ac:dyDescent="0.3">
      <c r="A104" s="37" t="s">
        <v>88</v>
      </c>
      <c r="B104" s="38" t="s">
        <v>128</v>
      </c>
      <c r="C104" s="39"/>
      <c r="D104" s="40"/>
      <c r="E104" s="40"/>
      <c r="F104" s="41"/>
      <c r="G104" s="41"/>
      <c r="H104" s="42"/>
      <c r="I104" s="43"/>
      <c r="J104" s="42"/>
      <c r="K104" s="44"/>
      <c r="L104" s="43"/>
      <c r="M104" s="42"/>
      <c r="N104" s="44"/>
      <c r="O104" s="43"/>
      <c r="P104" s="42"/>
      <c r="Q104" s="44"/>
      <c r="R104" s="43"/>
      <c r="S104" s="42"/>
      <c r="T104" s="42"/>
      <c r="U104" s="45"/>
    </row>
    <row r="105" spans="1:94" ht="28.9" hidden="1" x14ac:dyDescent="0.3">
      <c r="A105" s="62" t="s">
        <v>88</v>
      </c>
      <c r="B105" s="8" t="s">
        <v>144</v>
      </c>
      <c r="C105" s="8" t="s">
        <v>225</v>
      </c>
      <c r="D105" s="2" t="s">
        <v>131</v>
      </c>
      <c r="E105" s="8" t="s">
        <v>131</v>
      </c>
      <c r="F105" s="9"/>
      <c r="G105" s="9"/>
      <c r="H105" s="63"/>
      <c r="I105" s="88">
        <f>330*35*2+80*35*2*2</f>
        <v>34300</v>
      </c>
      <c r="J105" s="89"/>
      <c r="K105" s="90"/>
      <c r="L105" s="88">
        <v>46305</v>
      </c>
      <c r="M105" s="53"/>
      <c r="N105" s="66"/>
      <c r="O105" s="88">
        <v>67142</v>
      </c>
      <c r="P105" s="53"/>
      <c r="Q105" s="66"/>
      <c r="R105" s="52">
        <f t="shared" ref="R105:T108" si="19">+O105+L105+I105</f>
        <v>147747</v>
      </c>
      <c r="S105" s="53">
        <f t="shared" si="19"/>
        <v>0</v>
      </c>
      <c r="T105" s="54">
        <f t="shared" si="19"/>
        <v>0</v>
      </c>
      <c r="U105" s="55">
        <f t="shared" si="9"/>
        <v>147747</v>
      </c>
    </row>
    <row r="106" spans="1:94" ht="28.9" hidden="1" x14ac:dyDescent="0.3">
      <c r="A106" s="62" t="s">
        <v>88</v>
      </c>
      <c r="B106" s="8" t="s">
        <v>189</v>
      </c>
      <c r="C106" s="8" t="s">
        <v>225</v>
      </c>
      <c r="D106" s="2" t="s">
        <v>131</v>
      </c>
      <c r="E106" s="8" t="s">
        <v>131</v>
      </c>
      <c r="F106" s="64"/>
      <c r="G106" s="64"/>
      <c r="H106" s="65"/>
      <c r="I106" s="88">
        <f>400*2*15</f>
        <v>12000</v>
      </c>
      <c r="J106" s="89"/>
      <c r="K106" s="90"/>
      <c r="L106" s="88">
        <v>15600</v>
      </c>
      <c r="M106" s="53"/>
      <c r="N106" s="66"/>
      <c r="O106" s="88">
        <v>17940</v>
      </c>
      <c r="P106" s="53"/>
      <c r="Q106" s="66"/>
      <c r="R106" s="52">
        <f t="shared" si="19"/>
        <v>45540</v>
      </c>
      <c r="S106" s="53">
        <f t="shared" si="19"/>
        <v>0</v>
      </c>
      <c r="T106" s="54">
        <f t="shared" si="19"/>
        <v>0</v>
      </c>
      <c r="U106" s="55">
        <f t="shared" si="9"/>
        <v>45540</v>
      </c>
    </row>
    <row r="107" spans="1:94" ht="43.15" hidden="1" x14ac:dyDescent="0.3">
      <c r="A107" s="62" t="s">
        <v>88</v>
      </c>
      <c r="B107" s="8" t="s">
        <v>133</v>
      </c>
      <c r="C107" s="8" t="s">
        <v>226</v>
      </c>
      <c r="D107" s="2" t="s">
        <v>131</v>
      </c>
      <c r="E107" s="8" t="s">
        <v>131</v>
      </c>
      <c r="F107" s="9"/>
      <c r="G107" s="9"/>
      <c r="H107" s="63"/>
      <c r="I107" s="88">
        <f>130*45</f>
        <v>5850</v>
      </c>
      <c r="J107" s="89"/>
      <c r="K107" s="90"/>
      <c r="L107" s="88">
        <v>7898</v>
      </c>
      <c r="M107" s="7"/>
      <c r="N107" s="78"/>
      <c r="O107" s="88">
        <v>11451</v>
      </c>
      <c r="P107" s="7"/>
      <c r="Q107" s="78"/>
      <c r="R107" s="52">
        <f t="shared" si="19"/>
        <v>25199</v>
      </c>
      <c r="S107" s="53">
        <f t="shared" si="19"/>
        <v>0</v>
      </c>
      <c r="T107" s="54">
        <f t="shared" si="19"/>
        <v>0</v>
      </c>
      <c r="U107" s="55">
        <f t="shared" si="9"/>
        <v>25199</v>
      </c>
    </row>
    <row r="108" spans="1:94" ht="28.9" hidden="1" x14ac:dyDescent="0.3">
      <c r="A108" s="62" t="s">
        <v>88</v>
      </c>
      <c r="B108" s="8" t="s">
        <v>137</v>
      </c>
      <c r="C108" s="8" t="s">
        <v>225</v>
      </c>
      <c r="D108" s="2" t="s">
        <v>131</v>
      </c>
      <c r="E108" s="8" t="s">
        <v>131</v>
      </c>
      <c r="F108" s="64"/>
      <c r="G108" s="64"/>
      <c r="H108" s="65"/>
      <c r="I108" s="88">
        <v>3000</v>
      </c>
      <c r="J108" s="89"/>
      <c r="K108" s="90"/>
      <c r="L108" s="88">
        <v>3900</v>
      </c>
      <c r="M108" s="53"/>
      <c r="N108" s="66"/>
      <c r="O108" s="88">
        <v>5070</v>
      </c>
      <c r="P108" s="53"/>
      <c r="Q108" s="66"/>
      <c r="R108" s="52">
        <f t="shared" si="19"/>
        <v>11970</v>
      </c>
      <c r="S108" s="53">
        <f t="shared" si="19"/>
        <v>0</v>
      </c>
      <c r="T108" s="54">
        <f t="shared" si="19"/>
        <v>0</v>
      </c>
      <c r="U108" s="55">
        <f t="shared" si="9"/>
        <v>11970</v>
      </c>
    </row>
    <row r="109" spans="1:94" ht="28.9" hidden="1" x14ac:dyDescent="0.3">
      <c r="A109" s="69" t="s">
        <v>88</v>
      </c>
      <c r="B109" s="70" t="s">
        <v>227</v>
      </c>
      <c r="C109" s="71"/>
      <c r="D109" s="72"/>
      <c r="E109" s="72"/>
      <c r="F109" s="73"/>
      <c r="G109" s="73"/>
      <c r="H109" s="74"/>
      <c r="I109" s="23"/>
      <c r="J109" s="24"/>
      <c r="K109" s="25"/>
      <c r="L109" s="23"/>
      <c r="M109" s="24"/>
      <c r="N109" s="25"/>
      <c r="O109" s="23"/>
      <c r="P109" s="24"/>
      <c r="Q109" s="25"/>
      <c r="R109" s="23"/>
      <c r="S109" s="24"/>
      <c r="T109" s="24"/>
      <c r="U109" s="26"/>
    </row>
    <row r="110" spans="1:94" ht="14.45" hidden="1" x14ac:dyDescent="0.3">
      <c r="A110" s="27" t="s">
        <v>88</v>
      </c>
      <c r="B110" s="28" t="s">
        <v>228</v>
      </c>
      <c r="C110" s="29"/>
      <c r="D110" s="30"/>
      <c r="E110" s="30"/>
      <c r="F110" s="31"/>
      <c r="G110" s="31"/>
      <c r="H110" s="32"/>
      <c r="I110" s="33"/>
      <c r="J110" s="34"/>
      <c r="K110" s="35"/>
      <c r="L110" s="33"/>
      <c r="M110" s="34"/>
      <c r="N110" s="35"/>
      <c r="O110" s="33"/>
      <c r="P110" s="34"/>
      <c r="Q110" s="35"/>
      <c r="R110" s="33"/>
      <c r="S110" s="34"/>
      <c r="T110" s="34"/>
      <c r="U110" s="36"/>
    </row>
    <row r="111" spans="1:94" ht="14.45" hidden="1" x14ac:dyDescent="0.3">
      <c r="A111" s="37" t="s">
        <v>88</v>
      </c>
      <c r="B111" s="38" t="s">
        <v>91</v>
      </c>
      <c r="C111" s="39"/>
      <c r="D111" s="40"/>
      <c r="E111" s="40"/>
      <c r="F111" s="41">
        <v>104</v>
      </c>
      <c r="G111" s="41"/>
      <c r="H111" s="42"/>
      <c r="I111" s="43"/>
      <c r="J111" s="42"/>
      <c r="K111" s="44"/>
      <c r="L111" s="43"/>
      <c r="M111" s="42"/>
      <c r="N111" s="44"/>
      <c r="O111" s="43"/>
      <c r="P111" s="42"/>
      <c r="Q111" s="44"/>
      <c r="R111" s="43"/>
      <c r="S111" s="42"/>
      <c r="T111" s="42"/>
      <c r="U111" s="45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ht="14.45" hidden="1" x14ac:dyDescent="0.3">
      <c r="A112" s="62" t="s">
        <v>88</v>
      </c>
      <c r="B112" s="8" t="s">
        <v>229</v>
      </c>
      <c r="C112" s="8" t="s">
        <v>230</v>
      </c>
      <c r="D112" s="2" t="s">
        <v>94</v>
      </c>
      <c r="E112" s="8" t="s">
        <v>422</v>
      </c>
      <c r="F112" s="9">
        <v>4</v>
      </c>
      <c r="G112" s="9"/>
      <c r="H112" s="63"/>
      <c r="I112" s="88"/>
      <c r="J112" s="89">
        <f>+[1]RRHH!I52</f>
        <v>42402.880000000005</v>
      </c>
      <c r="K112" s="90"/>
      <c r="L112" s="88"/>
      <c r="M112" s="7">
        <f>+[1]RRHH!K52</f>
        <v>53003.600000000006</v>
      </c>
      <c r="N112" s="78"/>
      <c r="O112" s="88"/>
      <c r="P112" s="7">
        <f>+[1]RRHH!M52</f>
        <v>66254.5</v>
      </c>
      <c r="Q112" s="78"/>
      <c r="R112" s="52">
        <f t="shared" ref="R112:T115" si="20">+O112+L112+I112</f>
        <v>0</v>
      </c>
      <c r="S112" s="53">
        <f t="shared" si="20"/>
        <v>161660.98000000001</v>
      </c>
      <c r="T112" s="54">
        <f t="shared" si="20"/>
        <v>0</v>
      </c>
      <c r="U112" s="55">
        <f t="shared" si="9"/>
        <v>161660.98000000001</v>
      </c>
    </row>
    <row r="113" spans="1:21" ht="28.9" hidden="1" x14ac:dyDescent="0.3">
      <c r="A113" s="62" t="s">
        <v>88</v>
      </c>
      <c r="B113" s="8" t="s">
        <v>231</v>
      </c>
      <c r="C113" s="8" t="s">
        <v>232</v>
      </c>
      <c r="D113" s="2" t="s">
        <v>94</v>
      </c>
      <c r="E113" s="8" t="s">
        <v>422</v>
      </c>
      <c r="F113" s="9">
        <v>100</v>
      </c>
      <c r="G113" s="9"/>
      <c r="H113" s="63">
        <f>728*14</f>
        <v>10192</v>
      </c>
      <c r="I113" s="88"/>
      <c r="J113" s="89">
        <f>+[1]RRHH!J53</f>
        <v>515091.20000000001</v>
      </c>
      <c r="K113" s="90"/>
      <c r="L113" s="88"/>
      <c r="M113" s="7">
        <f>+[1]RRHH!L53</f>
        <v>989352</v>
      </c>
      <c r="N113" s="78"/>
      <c r="O113" s="88"/>
      <c r="P113" s="7">
        <f>+[1]RRHH!N53</f>
        <v>1963000</v>
      </c>
      <c r="Q113" s="78"/>
      <c r="R113" s="52">
        <f t="shared" si="20"/>
        <v>0</v>
      </c>
      <c r="S113" s="53">
        <f t="shared" si="20"/>
        <v>3467443.2</v>
      </c>
      <c r="T113" s="54">
        <f t="shared" si="20"/>
        <v>0</v>
      </c>
      <c r="U113" s="55">
        <f t="shared" si="9"/>
        <v>3467443.2</v>
      </c>
    </row>
    <row r="114" spans="1:21" ht="28.9" hidden="1" x14ac:dyDescent="0.3">
      <c r="A114" s="62" t="s">
        <v>88</v>
      </c>
      <c r="B114" s="8" t="s">
        <v>233</v>
      </c>
      <c r="C114" s="8" t="s">
        <v>234</v>
      </c>
      <c r="D114" s="2" t="s">
        <v>94</v>
      </c>
      <c r="E114" s="8" t="s">
        <v>422</v>
      </c>
      <c r="F114" s="9">
        <v>2</v>
      </c>
      <c r="G114" s="9"/>
      <c r="H114" s="63"/>
      <c r="I114" s="88"/>
      <c r="J114" s="89">
        <f>+[1]RRHH!I54</f>
        <v>31410.080000000002</v>
      </c>
      <c r="K114" s="90"/>
      <c r="L114" s="88"/>
      <c r="M114" s="7">
        <f>+[1]RRHH!K54</f>
        <v>39262.600000000006</v>
      </c>
      <c r="N114" s="78"/>
      <c r="O114" s="88"/>
      <c r="P114" s="7">
        <f>+[1]RRHH!M54</f>
        <v>49078.250000000007</v>
      </c>
      <c r="Q114" s="78"/>
      <c r="R114" s="52">
        <f t="shared" si="20"/>
        <v>0</v>
      </c>
      <c r="S114" s="53">
        <f t="shared" si="20"/>
        <v>119750.93000000001</v>
      </c>
      <c r="T114" s="54">
        <f t="shared" si="20"/>
        <v>0</v>
      </c>
      <c r="U114" s="55">
        <f t="shared" si="9"/>
        <v>119750.93000000001</v>
      </c>
    </row>
    <row r="115" spans="1:21" ht="28.9" hidden="1" x14ac:dyDescent="0.3">
      <c r="A115" s="62" t="s">
        <v>88</v>
      </c>
      <c r="B115" s="8" t="s">
        <v>140</v>
      </c>
      <c r="C115" s="8" t="s">
        <v>117</v>
      </c>
      <c r="D115" s="2" t="s">
        <v>118</v>
      </c>
      <c r="E115" s="8" t="s">
        <v>422</v>
      </c>
      <c r="F115" s="9">
        <v>6</v>
      </c>
      <c r="G115" s="9"/>
      <c r="H115" s="63"/>
      <c r="I115" s="88"/>
      <c r="J115" s="89">
        <f>+(2800*12*6)/15</f>
        <v>13440</v>
      </c>
      <c r="K115" s="90"/>
      <c r="L115" s="88"/>
      <c r="M115" s="7">
        <f>+(3100*12*6)/15</f>
        <v>14880</v>
      </c>
      <c r="N115" s="78"/>
      <c r="O115" s="88"/>
      <c r="P115" s="7">
        <f>+(3260*12*6)/15</f>
        <v>15648</v>
      </c>
      <c r="Q115" s="78"/>
      <c r="R115" s="52">
        <f t="shared" si="20"/>
        <v>0</v>
      </c>
      <c r="S115" s="53">
        <f t="shared" si="20"/>
        <v>43968</v>
      </c>
      <c r="T115" s="54">
        <f t="shared" si="20"/>
        <v>0</v>
      </c>
      <c r="U115" s="55">
        <f t="shared" si="9"/>
        <v>43968</v>
      </c>
    </row>
    <row r="116" spans="1:21" ht="14.45" hidden="1" x14ac:dyDescent="0.3">
      <c r="A116" s="37" t="s">
        <v>88</v>
      </c>
      <c r="B116" s="38" t="s">
        <v>235</v>
      </c>
      <c r="C116" s="39"/>
      <c r="D116" s="40"/>
      <c r="E116" s="40"/>
      <c r="F116" s="41"/>
      <c r="G116" s="41"/>
      <c r="H116" s="42"/>
      <c r="I116" s="43"/>
      <c r="J116" s="42"/>
      <c r="K116" s="44"/>
      <c r="L116" s="43"/>
      <c r="M116" s="42"/>
      <c r="N116" s="44"/>
      <c r="O116" s="43"/>
      <c r="P116" s="42"/>
      <c r="Q116" s="44"/>
      <c r="R116" s="43"/>
      <c r="S116" s="42"/>
      <c r="T116" s="42"/>
      <c r="U116" s="45"/>
    </row>
    <row r="117" spans="1:21" ht="14.45" hidden="1" x14ac:dyDescent="0.3">
      <c r="A117" s="62" t="s">
        <v>88</v>
      </c>
      <c r="B117" s="8" t="s">
        <v>236</v>
      </c>
      <c r="C117" s="8" t="s">
        <v>237</v>
      </c>
      <c r="D117" s="2" t="s">
        <v>122</v>
      </c>
      <c r="E117" s="8" t="s">
        <v>423</v>
      </c>
      <c r="F117" s="9"/>
      <c r="G117" s="9"/>
      <c r="H117" s="63"/>
      <c r="I117" s="88">
        <f>24*1072</f>
        <v>25728</v>
      </c>
      <c r="J117" s="89"/>
      <c r="K117" s="90"/>
      <c r="L117" s="88">
        <f>24*1072</f>
        <v>25728</v>
      </c>
      <c r="M117" s="53"/>
      <c r="N117" s="66"/>
      <c r="O117" s="88">
        <f>16*1072</f>
        <v>17152</v>
      </c>
      <c r="P117" s="53"/>
      <c r="Q117" s="66"/>
      <c r="R117" s="52">
        <f t="shared" ref="R117:T117" si="21">+O117+L117+I117</f>
        <v>68608</v>
      </c>
      <c r="S117" s="53">
        <f t="shared" si="21"/>
        <v>0</v>
      </c>
      <c r="T117" s="54">
        <f t="shared" si="21"/>
        <v>0</v>
      </c>
      <c r="U117" s="55">
        <f t="shared" si="9"/>
        <v>68608</v>
      </c>
    </row>
    <row r="118" spans="1:21" ht="14.45" hidden="1" x14ac:dyDescent="0.3">
      <c r="A118" s="37" t="s">
        <v>88</v>
      </c>
      <c r="B118" s="38" t="s">
        <v>238</v>
      </c>
      <c r="C118" s="39"/>
      <c r="D118" s="40"/>
      <c r="E118" s="40"/>
      <c r="F118" s="41"/>
      <c r="G118" s="41"/>
      <c r="H118" s="42"/>
      <c r="I118" s="43"/>
      <c r="J118" s="42"/>
      <c r="K118" s="44"/>
      <c r="L118" s="43"/>
      <c r="M118" s="42"/>
      <c r="N118" s="44"/>
      <c r="O118" s="43"/>
      <c r="P118" s="42"/>
      <c r="Q118" s="44"/>
      <c r="R118" s="43"/>
      <c r="S118" s="42"/>
      <c r="T118" s="42"/>
      <c r="U118" s="45"/>
    </row>
    <row r="119" spans="1:21" s="3" customFormat="1" ht="28.9" hidden="1" x14ac:dyDescent="0.3">
      <c r="A119" s="79" t="s">
        <v>88</v>
      </c>
      <c r="B119" s="5" t="s">
        <v>239</v>
      </c>
      <c r="C119" s="5" t="s">
        <v>240</v>
      </c>
      <c r="D119" s="91" t="s">
        <v>127</v>
      </c>
      <c r="E119" s="186" t="s">
        <v>424</v>
      </c>
      <c r="F119" s="92"/>
      <c r="G119" s="92"/>
      <c r="H119" s="93"/>
      <c r="I119" s="77">
        <v>42000</v>
      </c>
      <c r="J119" s="7"/>
      <c r="K119" s="78"/>
      <c r="L119" s="77">
        <v>44000</v>
      </c>
      <c r="M119" s="94"/>
      <c r="N119" s="95"/>
      <c r="O119" s="77">
        <v>49000</v>
      </c>
      <c r="P119" s="94"/>
      <c r="Q119" s="95"/>
      <c r="R119" s="52">
        <f t="shared" ref="R119:T120" si="22">+O119+L119+I119</f>
        <v>135000</v>
      </c>
      <c r="S119" s="53">
        <f t="shared" si="22"/>
        <v>0</v>
      </c>
      <c r="T119" s="54">
        <f t="shared" si="22"/>
        <v>0</v>
      </c>
      <c r="U119" s="55">
        <f t="shared" si="9"/>
        <v>135000</v>
      </c>
    </row>
    <row r="120" spans="1:21" s="3" customFormat="1" ht="28.9" hidden="1" x14ac:dyDescent="0.3">
      <c r="A120" s="79" t="s">
        <v>88</v>
      </c>
      <c r="B120" s="5" t="s">
        <v>144</v>
      </c>
      <c r="C120" s="5" t="s">
        <v>240</v>
      </c>
      <c r="D120" s="91" t="s">
        <v>131</v>
      </c>
      <c r="E120" s="186" t="s">
        <v>131</v>
      </c>
      <c r="F120" s="92"/>
      <c r="G120" s="92"/>
      <c r="H120" s="93"/>
      <c r="I120" s="77">
        <f>330*2*56+80*56*2*2</f>
        <v>54880</v>
      </c>
      <c r="J120" s="7"/>
      <c r="K120" s="78"/>
      <c r="L120" s="77">
        <v>74088</v>
      </c>
      <c r="M120" s="93"/>
      <c r="N120" s="96"/>
      <c r="O120" s="77">
        <v>100019</v>
      </c>
      <c r="P120" s="93"/>
      <c r="Q120" s="96"/>
      <c r="R120" s="52">
        <f t="shared" si="22"/>
        <v>228987</v>
      </c>
      <c r="S120" s="53">
        <f t="shared" si="22"/>
        <v>0</v>
      </c>
      <c r="T120" s="54">
        <f t="shared" si="22"/>
        <v>0</v>
      </c>
      <c r="U120" s="55">
        <f t="shared" si="9"/>
        <v>228987</v>
      </c>
    </row>
    <row r="121" spans="1:21" ht="14.45" hidden="1" x14ac:dyDescent="0.3">
      <c r="A121" s="27" t="s">
        <v>88</v>
      </c>
      <c r="B121" s="28" t="s">
        <v>241</v>
      </c>
      <c r="C121" s="29"/>
      <c r="D121" s="30"/>
      <c r="E121" s="30"/>
      <c r="F121" s="31"/>
      <c r="G121" s="31"/>
      <c r="H121" s="32"/>
      <c r="I121" s="33"/>
      <c r="J121" s="34"/>
      <c r="K121" s="35"/>
      <c r="L121" s="33"/>
      <c r="M121" s="34"/>
      <c r="N121" s="35"/>
      <c r="O121" s="33"/>
      <c r="P121" s="34"/>
      <c r="Q121" s="35"/>
      <c r="R121" s="33"/>
      <c r="S121" s="34"/>
      <c r="T121" s="34"/>
      <c r="U121" s="36"/>
    </row>
    <row r="122" spans="1:21" ht="14.45" hidden="1" x14ac:dyDescent="0.3">
      <c r="A122" s="37" t="s">
        <v>88</v>
      </c>
      <c r="B122" s="38" t="s">
        <v>242</v>
      </c>
      <c r="C122" s="39"/>
      <c r="D122" s="40"/>
      <c r="E122" s="40"/>
      <c r="F122" s="41"/>
      <c r="G122" s="41"/>
      <c r="H122" s="42"/>
      <c r="I122" s="43"/>
      <c r="J122" s="42"/>
      <c r="K122" s="44"/>
      <c r="L122" s="43"/>
      <c r="M122" s="42"/>
      <c r="N122" s="44"/>
      <c r="O122" s="43"/>
      <c r="P122" s="42"/>
      <c r="Q122" s="44"/>
      <c r="R122" s="43"/>
      <c r="S122" s="42"/>
      <c r="T122" s="42"/>
      <c r="U122" s="45"/>
    </row>
    <row r="123" spans="1:21" s="3" customFormat="1" ht="28.9" hidden="1" x14ac:dyDescent="0.3">
      <c r="A123" s="97" t="s">
        <v>88</v>
      </c>
      <c r="B123" s="98" t="s">
        <v>144</v>
      </c>
      <c r="C123" s="98" t="s">
        <v>243</v>
      </c>
      <c r="D123" s="91" t="s">
        <v>131</v>
      </c>
      <c r="E123" s="186" t="s">
        <v>131</v>
      </c>
      <c r="F123" s="92"/>
      <c r="G123" s="92"/>
      <c r="H123" s="93"/>
      <c r="I123" s="77">
        <f>2*330*23+2*2*23*80+50*330+2*50*80</f>
        <v>47040</v>
      </c>
      <c r="J123" s="7"/>
      <c r="K123" s="78"/>
      <c r="L123" s="77">
        <v>63504</v>
      </c>
      <c r="M123" s="93"/>
      <c r="N123" s="96"/>
      <c r="O123" s="77">
        <v>92081</v>
      </c>
      <c r="P123" s="93"/>
      <c r="Q123" s="96"/>
      <c r="R123" s="52">
        <f t="shared" ref="R123:T124" si="23">+O123+L123+I123</f>
        <v>202625</v>
      </c>
      <c r="S123" s="53">
        <f t="shared" si="23"/>
        <v>0</v>
      </c>
      <c r="T123" s="54">
        <f t="shared" si="23"/>
        <v>0</v>
      </c>
      <c r="U123" s="55">
        <f t="shared" si="9"/>
        <v>202625</v>
      </c>
    </row>
    <row r="124" spans="1:21" s="3" customFormat="1" ht="28.9" hidden="1" x14ac:dyDescent="0.3">
      <c r="A124" s="97" t="s">
        <v>88</v>
      </c>
      <c r="B124" s="98" t="s">
        <v>133</v>
      </c>
      <c r="C124" s="98" t="s">
        <v>244</v>
      </c>
      <c r="D124" s="68" t="s">
        <v>131</v>
      </c>
      <c r="E124" s="186" t="s">
        <v>131</v>
      </c>
      <c r="F124" s="6"/>
      <c r="G124" s="6"/>
      <c r="H124" s="80"/>
      <c r="I124" s="77">
        <f>50*130</f>
        <v>6500</v>
      </c>
      <c r="J124" s="7"/>
      <c r="K124" s="78"/>
      <c r="L124" s="77">
        <v>8775</v>
      </c>
      <c r="M124" s="7"/>
      <c r="N124" s="78"/>
      <c r="O124" s="77">
        <v>12724</v>
      </c>
      <c r="P124" s="7"/>
      <c r="Q124" s="78"/>
      <c r="R124" s="52">
        <f t="shared" si="23"/>
        <v>27999</v>
      </c>
      <c r="S124" s="53">
        <f t="shared" si="23"/>
        <v>0</v>
      </c>
      <c r="T124" s="54">
        <f t="shared" si="23"/>
        <v>0</v>
      </c>
      <c r="U124" s="55">
        <f t="shared" si="9"/>
        <v>27999</v>
      </c>
    </row>
    <row r="125" spans="1:21" ht="14.45" hidden="1" x14ac:dyDescent="0.3">
      <c r="A125" s="37" t="s">
        <v>88</v>
      </c>
      <c r="B125" s="38" t="s">
        <v>235</v>
      </c>
      <c r="C125" s="39"/>
      <c r="D125" s="40"/>
      <c r="E125" s="40"/>
      <c r="F125" s="41"/>
      <c r="G125" s="41"/>
      <c r="H125" s="42"/>
      <c r="I125" s="43"/>
      <c r="J125" s="42"/>
      <c r="K125" s="44"/>
      <c r="L125" s="43"/>
      <c r="M125" s="42"/>
      <c r="N125" s="44"/>
      <c r="O125" s="43"/>
      <c r="P125" s="42"/>
      <c r="Q125" s="44"/>
      <c r="R125" s="43"/>
      <c r="S125" s="42"/>
      <c r="T125" s="42"/>
      <c r="U125" s="45"/>
    </row>
    <row r="126" spans="1:21" s="3" customFormat="1" ht="14.45" hidden="1" x14ac:dyDescent="0.3">
      <c r="A126" s="79" t="s">
        <v>88</v>
      </c>
      <c r="B126" s="5" t="s">
        <v>236</v>
      </c>
      <c r="C126" s="5" t="s">
        <v>245</v>
      </c>
      <c r="D126" s="91" t="s">
        <v>122</v>
      </c>
      <c r="E126" s="186" t="s">
        <v>423</v>
      </c>
      <c r="F126" s="92"/>
      <c r="G126" s="92"/>
      <c r="H126" s="93"/>
      <c r="I126" s="77">
        <f>21*1400</f>
        <v>29400</v>
      </c>
      <c r="J126" s="7"/>
      <c r="K126" s="78"/>
      <c r="L126" s="77">
        <f>21*1400</f>
        <v>29400</v>
      </c>
      <c r="M126" s="94"/>
      <c r="N126" s="95"/>
      <c r="O126" s="77">
        <f>14*1400</f>
        <v>19600</v>
      </c>
      <c r="P126" s="94"/>
      <c r="Q126" s="95"/>
      <c r="R126" s="52">
        <f t="shared" ref="R126:T126" si="24">+O126+L126+I126</f>
        <v>78400</v>
      </c>
      <c r="S126" s="53">
        <f t="shared" si="24"/>
        <v>0</v>
      </c>
      <c r="T126" s="54">
        <f t="shared" si="24"/>
        <v>0</v>
      </c>
      <c r="U126" s="55">
        <f t="shared" si="9"/>
        <v>78400</v>
      </c>
    </row>
    <row r="127" spans="1:21" ht="28.9" hidden="1" x14ac:dyDescent="0.3">
      <c r="A127" s="69" t="s">
        <v>88</v>
      </c>
      <c r="B127" s="70" t="s">
        <v>246</v>
      </c>
      <c r="C127" s="71"/>
      <c r="D127" s="72"/>
      <c r="E127" s="72"/>
      <c r="F127" s="73"/>
      <c r="G127" s="73"/>
      <c r="H127" s="74"/>
      <c r="I127" s="23"/>
      <c r="J127" s="24"/>
      <c r="K127" s="25"/>
      <c r="L127" s="23"/>
      <c r="M127" s="24"/>
      <c r="N127" s="25"/>
      <c r="O127" s="23"/>
      <c r="P127" s="24"/>
      <c r="Q127" s="25"/>
      <c r="R127" s="23"/>
      <c r="S127" s="24"/>
      <c r="T127" s="24"/>
      <c r="U127" s="26"/>
    </row>
    <row r="128" spans="1:21" ht="14.45" hidden="1" x14ac:dyDescent="0.3">
      <c r="A128" s="27" t="s">
        <v>88</v>
      </c>
      <c r="B128" s="28" t="s">
        <v>247</v>
      </c>
      <c r="C128" s="29"/>
      <c r="D128" s="30"/>
      <c r="E128" s="30"/>
      <c r="F128" s="31"/>
      <c r="G128" s="31"/>
      <c r="H128" s="32"/>
      <c r="I128" s="33"/>
      <c r="J128" s="34"/>
      <c r="K128" s="35"/>
      <c r="L128" s="33"/>
      <c r="M128" s="34"/>
      <c r="N128" s="35"/>
      <c r="O128" s="33"/>
      <c r="P128" s="34"/>
      <c r="Q128" s="35"/>
      <c r="R128" s="33"/>
      <c r="S128" s="34"/>
      <c r="T128" s="34"/>
      <c r="U128" s="36"/>
    </row>
    <row r="129" spans="1:21" s="3" customFormat="1" ht="28.9" hidden="1" x14ac:dyDescent="0.3">
      <c r="A129" s="97" t="s">
        <v>88</v>
      </c>
      <c r="B129" s="98" t="s">
        <v>144</v>
      </c>
      <c r="C129" s="98" t="s">
        <v>248</v>
      </c>
      <c r="D129" s="98" t="s">
        <v>131</v>
      </c>
      <c r="E129" s="187" t="s">
        <v>131</v>
      </c>
      <c r="F129" s="81"/>
      <c r="G129" s="81"/>
      <c r="H129" s="99"/>
      <c r="I129" s="77">
        <v>176400</v>
      </c>
      <c r="J129" s="7"/>
      <c r="K129" s="78"/>
      <c r="L129" s="77">
        <v>238140</v>
      </c>
      <c r="M129" s="7"/>
      <c r="N129" s="78"/>
      <c r="O129" s="77">
        <v>345303</v>
      </c>
      <c r="P129" s="7"/>
      <c r="Q129" s="78"/>
      <c r="R129" s="52">
        <f t="shared" ref="R129:T135" si="25">+O129+L129+I129</f>
        <v>759843</v>
      </c>
      <c r="S129" s="53">
        <f t="shared" si="25"/>
        <v>0</v>
      </c>
      <c r="T129" s="54">
        <f t="shared" si="25"/>
        <v>0</v>
      </c>
      <c r="U129" s="55">
        <f t="shared" si="9"/>
        <v>759843</v>
      </c>
    </row>
    <row r="130" spans="1:21" s="3" customFormat="1" ht="28.9" hidden="1" x14ac:dyDescent="0.3">
      <c r="A130" s="97" t="s">
        <v>88</v>
      </c>
      <c r="B130" s="98" t="s">
        <v>239</v>
      </c>
      <c r="C130" s="98" t="s">
        <v>248</v>
      </c>
      <c r="D130" s="98" t="s">
        <v>239</v>
      </c>
      <c r="E130" s="187" t="s">
        <v>444</v>
      </c>
      <c r="F130" s="75"/>
      <c r="G130" s="75"/>
      <c r="H130" s="100"/>
      <c r="I130" s="77">
        <v>88000</v>
      </c>
      <c r="J130" s="7"/>
      <c r="K130" s="78"/>
      <c r="L130" s="77">
        <v>114400</v>
      </c>
      <c r="M130" s="7"/>
      <c r="N130" s="78"/>
      <c r="O130" s="77">
        <v>131560</v>
      </c>
      <c r="P130" s="7"/>
      <c r="Q130" s="78"/>
      <c r="R130" s="52">
        <f t="shared" si="25"/>
        <v>333960</v>
      </c>
      <c r="S130" s="53">
        <f t="shared" si="25"/>
        <v>0</v>
      </c>
      <c r="T130" s="54">
        <f t="shared" si="25"/>
        <v>0</v>
      </c>
      <c r="U130" s="55">
        <f t="shared" si="9"/>
        <v>333960</v>
      </c>
    </row>
    <row r="131" spans="1:21" s="3" customFormat="1" ht="43.15" hidden="1" x14ac:dyDescent="0.3">
      <c r="A131" s="97" t="s">
        <v>88</v>
      </c>
      <c r="B131" s="98" t="s">
        <v>133</v>
      </c>
      <c r="C131" s="98" t="s">
        <v>249</v>
      </c>
      <c r="D131" s="98" t="s">
        <v>131</v>
      </c>
      <c r="E131" s="187" t="s">
        <v>131</v>
      </c>
      <c r="F131" s="75"/>
      <c r="G131" s="75"/>
      <c r="H131" s="100"/>
      <c r="I131" s="77">
        <v>16600</v>
      </c>
      <c r="J131" s="7"/>
      <c r="K131" s="78"/>
      <c r="L131" s="77">
        <v>22410</v>
      </c>
      <c r="M131" s="7"/>
      <c r="N131" s="78"/>
      <c r="O131" s="77">
        <v>32495</v>
      </c>
      <c r="P131" s="7"/>
      <c r="Q131" s="78"/>
      <c r="R131" s="52">
        <f t="shared" si="25"/>
        <v>71505</v>
      </c>
      <c r="S131" s="53">
        <f t="shared" si="25"/>
        <v>0</v>
      </c>
      <c r="T131" s="54">
        <f t="shared" si="25"/>
        <v>0</v>
      </c>
      <c r="U131" s="55">
        <f t="shared" si="9"/>
        <v>71505</v>
      </c>
    </row>
    <row r="132" spans="1:21" s="3" customFormat="1" ht="28.9" hidden="1" x14ac:dyDescent="0.3">
      <c r="A132" s="79" t="s">
        <v>88</v>
      </c>
      <c r="B132" s="5" t="s">
        <v>250</v>
      </c>
      <c r="C132" s="98" t="s">
        <v>248</v>
      </c>
      <c r="D132" s="68" t="s">
        <v>131</v>
      </c>
      <c r="E132" s="187" t="s">
        <v>131</v>
      </c>
      <c r="F132" s="6"/>
      <c r="G132" s="6"/>
      <c r="H132" s="80"/>
      <c r="I132" s="77">
        <v>30000</v>
      </c>
      <c r="J132" s="7"/>
      <c r="K132" s="78"/>
      <c r="L132" s="77">
        <v>50000</v>
      </c>
      <c r="M132" s="50"/>
      <c r="N132" s="51"/>
      <c r="O132" s="77"/>
      <c r="P132" s="50"/>
      <c r="Q132" s="51"/>
      <c r="R132" s="52">
        <f t="shared" si="25"/>
        <v>80000</v>
      </c>
      <c r="S132" s="53">
        <f t="shared" si="25"/>
        <v>0</v>
      </c>
      <c r="T132" s="54">
        <f t="shared" si="25"/>
        <v>0</v>
      </c>
      <c r="U132" s="55">
        <f t="shared" si="9"/>
        <v>80000</v>
      </c>
    </row>
    <row r="133" spans="1:21" s="3" customFormat="1" ht="28.9" hidden="1" x14ac:dyDescent="0.3">
      <c r="A133" s="79" t="s">
        <v>88</v>
      </c>
      <c r="B133" s="5" t="s">
        <v>251</v>
      </c>
      <c r="C133" s="98" t="s">
        <v>252</v>
      </c>
      <c r="D133" s="68" t="s">
        <v>131</v>
      </c>
      <c r="E133" s="187" t="s">
        <v>131</v>
      </c>
      <c r="F133" s="75"/>
      <c r="G133" s="75"/>
      <c r="H133" s="76"/>
      <c r="I133" s="77">
        <v>20000</v>
      </c>
      <c r="J133" s="7"/>
      <c r="K133" s="78"/>
      <c r="L133" s="77"/>
      <c r="M133" s="50"/>
      <c r="N133" s="51"/>
      <c r="O133" s="77"/>
      <c r="P133" s="50"/>
      <c r="Q133" s="51"/>
      <c r="R133" s="52">
        <f t="shared" si="25"/>
        <v>20000</v>
      </c>
      <c r="S133" s="53">
        <f t="shared" si="25"/>
        <v>0</v>
      </c>
      <c r="T133" s="54">
        <f t="shared" si="25"/>
        <v>0</v>
      </c>
      <c r="U133" s="55">
        <f t="shared" si="9"/>
        <v>20000</v>
      </c>
    </row>
    <row r="134" spans="1:21" s="3" customFormat="1" ht="28.9" hidden="1" x14ac:dyDescent="0.3">
      <c r="A134" s="79" t="s">
        <v>88</v>
      </c>
      <c r="B134" s="5" t="s">
        <v>253</v>
      </c>
      <c r="C134" s="98" t="s">
        <v>254</v>
      </c>
      <c r="D134" s="68" t="s">
        <v>94</v>
      </c>
      <c r="E134" s="5" t="s">
        <v>422</v>
      </c>
      <c r="F134" s="75">
        <v>2</v>
      </c>
      <c r="G134" s="75"/>
      <c r="H134" s="76"/>
      <c r="I134" s="77"/>
      <c r="J134" s="7">
        <f>+[1]RRHH!I55</f>
        <v>33766.720000000001</v>
      </c>
      <c r="K134" s="78"/>
      <c r="L134" s="77"/>
      <c r="M134" s="50">
        <f>+[1]RRHH!K55</f>
        <v>42208.4</v>
      </c>
      <c r="N134" s="51"/>
      <c r="O134" s="77"/>
      <c r="P134" s="50">
        <f>+[1]RRHH!M55</f>
        <v>52760.5</v>
      </c>
      <c r="Q134" s="51"/>
      <c r="R134" s="52">
        <f t="shared" si="25"/>
        <v>0</v>
      </c>
      <c r="S134" s="53">
        <f t="shared" si="25"/>
        <v>128735.62</v>
      </c>
      <c r="T134" s="54">
        <f t="shared" si="25"/>
        <v>0</v>
      </c>
      <c r="U134" s="55">
        <f t="shared" si="9"/>
        <v>128735.62</v>
      </c>
    </row>
    <row r="135" spans="1:21" s="3" customFormat="1" ht="28.9" hidden="1" x14ac:dyDescent="0.3">
      <c r="A135" s="79" t="s">
        <v>88</v>
      </c>
      <c r="B135" s="5" t="s">
        <v>255</v>
      </c>
      <c r="C135" s="98" t="s">
        <v>117</v>
      </c>
      <c r="D135" s="68" t="s">
        <v>118</v>
      </c>
      <c r="E135" s="5" t="s">
        <v>422</v>
      </c>
      <c r="F135" s="75">
        <v>2</v>
      </c>
      <c r="G135" s="75"/>
      <c r="H135" s="76"/>
      <c r="I135" s="77"/>
      <c r="J135" s="7">
        <f>+(2800*12*2)/15</f>
        <v>4480</v>
      </c>
      <c r="K135" s="78"/>
      <c r="L135" s="77"/>
      <c r="M135" s="50">
        <f>+(3100*12*2)/15</f>
        <v>4960</v>
      </c>
      <c r="N135" s="51"/>
      <c r="O135" s="77"/>
      <c r="P135" s="50">
        <f>+(3260*12*2)/15</f>
        <v>5216</v>
      </c>
      <c r="Q135" s="51"/>
      <c r="R135" s="52">
        <f t="shared" si="25"/>
        <v>0</v>
      </c>
      <c r="S135" s="53">
        <f t="shared" si="25"/>
        <v>14656</v>
      </c>
      <c r="T135" s="54">
        <f t="shared" si="25"/>
        <v>0</v>
      </c>
      <c r="U135" s="55">
        <f t="shared" si="9"/>
        <v>14656</v>
      </c>
    </row>
    <row r="136" spans="1:21" ht="28.9" hidden="1" x14ac:dyDescent="0.3">
      <c r="A136" s="27" t="s">
        <v>88</v>
      </c>
      <c r="B136" s="28" t="s">
        <v>256</v>
      </c>
      <c r="C136" s="29"/>
      <c r="D136" s="30"/>
      <c r="E136" s="30"/>
      <c r="F136" s="31"/>
      <c r="G136" s="31"/>
      <c r="H136" s="32"/>
      <c r="I136" s="33"/>
      <c r="J136" s="34"/>
      <c r="K136" s="35"/>
      <c r="L136" s="33"/>
      <c r="M136" s="34"/>
      <c r="N136" s="35"/>
      <c r="O136" s="33">
        <f>SUM(P137)</f>
        <v>0</v>
      </c>
      <c r="P136" s="34"/>
      <c r="Q136" s="35"/>
      <c r="R136" s="33"/>
      <c r="S136" s="34"/>
      <c r="T136" s="34"/>
      <c r="U136" s="36"/>
    </row>
    <row r="137" spans="1:21" s="3" customFormat="1" ht="43.15" hidden="1" x14ac:dyDescent="0.3">
      <c r="A137" s="79" t="s">
        <v>88</v>
      </c>
      <c r="B137" s="5" t="s">
        <v>257</v>
      </c>
      <c r="C137" s="98" t="s">
        <v>258</v>
      </c>
      <c r="D137" s="68" t="s">
        <v>94</v>
      </c>
      <c r="E137" s="5" t="s">
        <v>422</v>
      </c>
      <c r="F137" s="75">
        <v>1</v>
      </c>
      <c r="G137" s="75"/>
      <c r="H137" s="76"/>
      <c r="I137" s="77"/>
      <c r="J137" s="7">
        <v>7000</v>
      </c>
      <c r="K137" s="78"/>
      <c r="L137" s="77"/>
      <c r="M137" s="50">
        <v>6000</v>
      </c>
      <c r="N137" s="51"/>
      <c r="O137" s="77"/>
      <c r="P137" s="50">
        <v>0</v>
      </c>
      <c r="Q137" s="51"/>
      <c r="R137" s="52">
        <f t="shared" ref="R137:T137" si="26">+O137+L137+I137</f>
        <v>0</v>
      </c>
      <c r="S137" s="53">
        <f t="shared" si="26"/>
        <v>13000</v>
      </c>
      <c r="T137" s="54">
        <f t="shared" si="26"/>
        <v>0</v>
      </c>
      <c r="U137" s="55">
        <f t="shared" ref="U137:U200" si="27">+R137+S137+T137</f>
        <v>13000</v>
      </c>
    </row>
    <row r="138" spans="1:21" ht="14.45" hidden="1" x14ac:dyDescent="0.3">
      <c r="A138" s="69" t="s">
        <v>88</v>
      </c>
      <c r="B138" s="70" t="s">
        <v>259</v>
      </c>
      <c r="C138" s="71"/>
      <c r="D138" s="72"/>
      <c r="E138" s="72"/>
      <c r="F138" s="73">
        <v>1</v>
      </c>
      <c r="G138" s="73"/>
      <c r="H138" s="74"/>
      <c r="I138" s="23"/>
      <c r="J138" s="24"/>
      <c r="K138" s="25"/>
      <c r="L138" s="23"/>
      <c r="M138" s="24"/>
      <c r="N138" s="25"/>
      <c r="O138" s="23"/>
      <c r="P138" s="24"/>
      <c r="Q138" s="25"/>
      <c r="R138" s="23"/>
      <c r="S138" s="24"/>
      <c r="T138" s="24"/>
      <c r="U138" s="26"/>
    </row>
    <row r="139" spans="1:21" ht="14.45" hidden="1" x14ac:dyDescent="0.3">
      <c r="A139" s="37" t="s">
        <v>88</v>
      </c>
      <c r="B139" s="38" t="s">
        <v>91</v>
      </c>
      <c r="C139" s="39"/>
      <c r="D139" s="40"/>
      <c r="E139" s="40"/>
      <c r="F139" s="41">
        <v>1</v>
      </c>
      <c r="G139" s="41"/>
      <c r="H139" s="42"/>
      <c r="I139" s="101"/>
      <c r="J139" s="39"/>
      <c r="K139" s="102"/>
      <c r="L139" s="101"/>
      <c r="M139" s="42"/>
      <c r="N139" s="44"/>
      <c r="O139" s="101"/>
      <c r="P139" s="42"/>
      <c r="Q139" s="44"/>
      <c r="R139" s="101"/>
      <c r="S139" s="42"/>
      <c r="T139" s="42"/>
      <c r="U139" s="45"/>
    </row>
    <row r="140" spans="1:21" s="3" customFormat="1" ht="28.9" hidden="1" x14ac:dyDescent="0.3">
      <c r="A140" s="79" t="s">
        <v>88</v>
      </c>
      <c r="B140" s="5" t="s">
        <v>260</v>
      </c>
      <c r="C140" s="98" t="s">
        <v>261</v>
      </c>
      <c r="D140" s="68" t="s">
        <v>94</v>
      </c>
      <c r="E140" s="5" t="s">
        <v>422</v>
      </c>
      <c r="F140" s="75">
        <v>1</v>
      </c>
      <c r="G140" s="75"/>
      <c r="H140" s="76"/>
      <c r="I140" s="77"/>
      <c r="J140" s="7">
        <f>+[1]RRHH!I57</f>
        <v>16883.36</v>
      </c>
      <c r="K140" s="78"/>
      <c r="L140" s="77"/>
      <c r="M140" s="50">
        <f>+[1]RRHH!K57</f>
        <v>21104.2</v>
      </c>
      <c r="N140" s="51"/>
      <c r="O140" s="77"/>
      <c r="P140" s="50">
        <f>+[1]RRHH!M57</f>
        <v>26380.25</v>
      </c>
      <c r="Q140" s="51"/>
      <c r="R140" s="52">
        <f t="shared" ref="R140:T142" si="28">+O140+L140+I140</f>
        <v>0</v>
      </c>
      <c r="S140" s="53">
        <f t="shared" si="28"/>
        <v>64367.81</v>
      </c>
      <c r="T140" s="54">
        <f t="shared" si="28"/>
        <v>0</v>
      </c>
      <c r="U140" s="55">
        <f t="shared" si="27"/>
        <v>64367.81</v>
      </c>
    </row>
    <row r="141" spans="1:21" s="3" customFormat="1" ht="14.45" hidden="1" x14ac:dyDescent="0.3">
      <c r="A141" s="79" t="s">
        <v>88</v>
      </c>
      <c r="B141" s="5" t="s">
        <v>262</v>
      </c>
      <c r="C141" s="98" t="s">
        <v>261</v>
      </c>
      <c r="D141" s="68" t="s">
        <v>94</v>
      </c>
      <c r="E141" s="5" t="s">
        <v>422</v>
      </c>
      <c r="F141" s="75">
        <v>1</v>
      </c>
      <c r="G141" s="75"/>
      <c r="H141" s="76"/>
      <c r="I141" s="77"/>
      <c r="J141" s="7">
        <f>+[1]RRHH!I58</f>
        <v>16883.36</v>
      </c>
      <c r="K141" s="78"/>
      <c r="L141" s="77"/>
      <c r="M141" s="50">
        <f>+[1]RRHH!K58</f>
        <v>21104.2</v>
      </c>
      <c r="N141" s="51"/>
      <c r="O141" s="77"/>
      <c r="P141" s="50">
        <f>+[1]RRHH!M58</f>
        <v>26380.25</v>
      </c>
      <c r="Q141" s="51"/>
      <c r="R141" s="52">
        <f t="shared" si="28"/>
        <v>0</v>
      </c>
      <c r="S141" s="53">
        <f t="shared" si="28"/>
        <v>64367.81</v>
      </c>
      <c r="T141" s="54">
        <f t="shared" si="28"/>
        <v>0</v>
      </c>
      <c r="U141" s="55">
        <f t="shared" si="27"/>
        <v>64367.81</v>
      </c>
    </row>
    <row r="142" spans="1:21" s="3" customFormat="1" ht="28.9" hidden="1" x14ac:dyDescent="0.3">
      <c r="A142" s="79" t="s">
        <v>88</v>
      </c>
      <c r="B142" s="5" t="s">
        <v>255</v>
      </c>
      <c r="C142" s="98" t="s">
        <v>117</v>
      </c>
      <c r="D142" s="68" t="s">
        <v>118</v>
      </c>
      <c r="E142" s="5" t="s">
        <v>422</v>
      </c>
      <c r="F142" s="75">
        <v>2</v>
      </c>
      <c r="G142" s="75"/>
      <c r="H142" s="76"/>
      <c r="I142" s="77"/>
      <c r="J142" s="7">
        <f>+(2800*12*2)/15</f>
        <v>4480</v>
      </c>
      <c r="K142" s="78"/>
      <c r="L142" s="77"/>
      <c r="M142" s="50">
        <f>+(3100*12*2)/15</f>
        <v>4960</v>
      </c>
      <c r="N142" s="51"/>
      <c r="O142" s="77"/>
      <c r="P142" s="50">
        <f>+(3260*12*2)/15</f>
        <v>5216</v>
      </c>
      <c r="Q142" s="51"/>
      <c r="R142" s="52">
        <f t="shared" si="28"/>
        <v>0</v>
      </c>
      <c r="S142" s="53">
        <f t="shared" si="28"/>
        <v>14656</v>
      </c>
      <c r="T142" s="54">
        <f t="shared" si="28"/>
        <v>0</v>
      </c>
      <c r="U142" s="55">
        <f t="shared" si="27"/>
        <v>14656</v>
      </c>
    </row>
    <row r="143" spans="1:21" ht="14.45" hidden="1" x14ac:dyDescent="0.3">
      <c r="A143" s="37" t="s">
        <v>88</v>
      </c>
      <c r="B143" s="38" t="s">
        <v>263</v>
      </c>
      <c r="C143" s="39"/>
      <c r="D143" s="40"/>
      <c r="E143" s="40"/>
      <c r="F143" s="41">
        <v>4</v>
      </c>
      <c r="G143" s="41"/>
      <c r="H143" s="42"/>
      <c r="I143" s="43"/>
      <c r="J143" s="42"/>
      <c r="K143" s="44"/>
      <c r="L143" s="43"/>
      <c r="M143" s="42"/>
      <c r="N143" s="44"/>
      <c r="O143" s="43"/>
      <c r="P143" s="42"/>
      <c r="Q143" s="44"/>
      <c r="R143" s="43"/>
      <c r="S143" s="42"/>
      <c r="T143" s="42"/>
      <c r="U143" s="45"/>
    </row>
    <row r="144" spans="1:21" s="3" customFormat="1" ht="43.15" hidden="1" x14ac:dyDescent="0.3">
      <c r="A144" s="79" t="s">
        <v>88</v>
      </c>
      <c r="B144" s="5" t="s">
        <v>264</v>
      </c>
      <c r="C144" s="98" t="s">
        <v>265</v>
      </c>
      <c r="D144" s="68" t="s">
        <v>94</v>
      </c>
      <c r="E144" s="5" t="s">
        <v>422</v>
      </c>
      <c r="F144" s="75">
        <v>1</v>
      </c>
      <c r="G144" s="75"/>
      <c r="H144" s="76"/>
      <c r="I144" s="77"/>
      <c r="J144" s="7">
        <f>+[1]RRHH!I59</f>
        <v>16883.36</v>
      </c>
      <c r="K144" s="78"/>
      <c r="L144" s="77"/>
      <c r="M144" s="50">
        <f>+[1]RRHH!K59</f>
        <v>21104.2</v>
      </c>
      <c r="N144" s="51"/>
      <c r="O144" s="77"/>
      <c r="P144" s="50">
        <f>+[1]RRHH!M59</f>
        <v>0</v>
      </c>
      <c r="Q144" s="51"/>
      <c r="R144" s="52">
        <f t="shared" ref="R144:T147" si="29">+O144+L144+I144</f>
        <v>0</v>
      </c>
      <c r="S144" s="53">
        <f t="shared" si="29"/>
        <v>37987.56</v>
      </c>
      <c r="T144" s="54">
        <f t="shared" si="29"/>
        <v>0</v>
      </c>
      <c r="U144" s="55">
        <f t="shared" si="27"/>
        <v>37987.56</v>
      </c>
    </row>
    <row r="145" spans="1:22" s="3" customFormat="1" ht="57.6" hidden="1" x14ac:dyDescent="0.3">
      <c r="A145" s="79" t="s">
        <v>88</v>
      </c>
      <c r="B145" s="5" t="s">
        <v>266</v>
      </c>
      <c r="C145" s="98" t="s">
        <v>267</v>
      </c>
      <c r="D145" s="68" t="s">
        <v>94</v>
      </c>
      <c r="E145" s="5" t="s">
        <v>422</v>
      </c>
      <c r="F145" s="75">
        <v>4</v>
      </c>
      <c r="G145" s="75"/>
      <c r="H145" s="76"/>
      <c r="I145" s="77"/>
      <c r="J145" s="7">
        <f>+[1]RRHH!I60</f>
        <v>67533.440000000002</v>
      </c>
      <c r="K145" s="78"/>
      <c r="L145" s="77"/>
      <c r="M145" s="50">
        <f>+[1]RRHH!K60</f>
        <v>84416.8</v>
      </c>
      <c r="N145" s="51"/>
      <c r="O145" s="77"/>
      <c r="P145" s="50">
        <f>+[1]RRHH!M60</f>
        <v>105521</v>
      </c>
      <c r="Q145" s="51"/>
      <c r="R145" s="52">
        <f t="shared" si="29"/>
        <v>0</v>
      </c>
      <c r="S145" s="53">
        <f t="shared" si="29"/>
        <v>257471.24</v>
      </c>
      <c r="T145" s="54">
        <f t="shared" si="29"/>
        <v>0</v>
      </c>
      <c r="U145" s="55">
        <f t="shared" si="27"/>
        <v>257471.24</v>
      </c>
    </row>
    <row r="146" spans="1:22" s="3" customFormat="1" ht="57.6" hidden="1" x14ac:dyDescent="0.3">
      <c r="A146" s="79" t="s">
        <v>88</v>
      </c>
      <c r="B146" s="5" t="s">
        <v>268</v>
      </c>
      <c r="C146" s="98" t="s">
        <v>269</v>
      </c>
      <c r="D146" s="68" t="s">
        <v>94</v>
      </c>
      <c r="E146" s="5" t="s">
        <v>422</v>
      </c>
      <c r="F146" s="75">
        <v>4</v>
      </c>
      <c r="G146" s="75"/>
      <c r="H146" s="76"/>
      <c r="I146" s="77"/>
      <c r="J146" s="7">
        <f>+[1]RRHH!I61</f>
        <v>67533.440000000002</v>
      </c>
      <c r="K146" s="78"/>
      <c r="L146" s="77"/>
      <c r="M146" s="50">
        <f>+[1]RRHH!K61</f>
        <v>84416.8</v>
      </c>
      <c r="N146" s="51"/>
      <c r="O146" s="77"/>
      <c r="P146" s="50">
        <f>+[1]RRHH!M61</f>
        <v>105521</v>
      </c>
      <c r="Q146" s="51"/>
      <c r="R146" s="52">
        <f t="shared" si="29"/>
        <v>0</v>
      </c>
      <c r="S146" s="53">
        <f t="shared" si="29"/>
        <v>257471.24</v>
      </c>
      <c r="T146" s="54">
        <f t="shared" si="29"/>
        <v>0</v>
      </c>
      <c r="U146" s="55">
        <f t="shared" si="27"/>
        <v>257471.24</v>
      </c>
    </row>
    <row r="147" spans="1:22" s="3" customFormat="1" ht="28.9" hidden="1" x14ac:dyDescent="0.3">
      <c r="A147" s="79" t="s">
        <v>88</v>
      </c>
      <c r="B147" s="5" t="s">
        <v>255</v>
      </c>
      <c r="C147" s="98" t="s">
        <v>117</v>
      </c>
      <c r="D147" s="68" t="s">
        <v>118</v>
      </c>
      <c r="E147" s="5" t="s">
        <v>422</v>
      </c>
      <c r="F147" s="75">
        <v>8</v>
      </c>
      <c r="G147" s="75"/>
      <c r="H147" s="76"/>
      <c r="I147" s="77"/>
      <c r="J147" s="7">
        <f>+(2800*12*8)/15</f>
        <v>17920</v>
      </c>
      <c r="K147" s="78"/>
      <c r="L147" s="77"/>
      <c r="M147" s="50">
        <f>+(3100*12*8)/15</f>
        <v>19840</v>
      </c>
      <c r="N147" s="51"/>
      <c r="O147" s="77"/>
      <c r="P147" s="50">
        <f>+(3260*12*8)/15</f>
        <v>20864</v>
      </c>
      <c r="Q147" s="51"/>
      <c r="R147" s="52">
        <f t="shared" si="29"/>
        <v>0</v>
      </c>
      <c r="S147" s="53">
        <f t="shared" si="29"/>
        <v>58624</v>
      </c>
      <c r="T147" s="54">
        <f t="shared" si="29"/>
        <v>0</v>
      </c>
      <c r="U147" s="55">
        <f t="shared" si="27"/>
        <v>58624</v>
      </c>
    </row>
    <row r="148" spans="1:22" ht="14.45" hidden="1" x14ac:dyDescent="0.3">
      <c r="A148" s="37" t="s">
        <v>88</v>
      </c>
      <c r="B148" s="38" t="s">
        <v>235</v>
      </c>
      <c r="C148" s="39"/>
      <c r="D148" s="40"/>
      <c r="E148" s="40"/>
      <c r="F148" s="41"/>
      <c r="G148" s="41"/>
      <c r="H148" s="42"/>
      <c r="I148" s="103"/>
      <c r="J148" s="104"/>
      <c r="K148" s="105"/>
      <c r="L148" s="103"/>
      <c r="M148" s="42"/>
      <c r="N148" s="44"/>
      <c r="O148" s="103"/>
      <c r="P148" s="42"/>
      <c r="Q148" s="44"/>
      <c r="R148" s="103"/>
      <c r="S148" s="42"/>
      <c r="T148" s="42"/>
      <c r="U148" s="45"/>
    </row>
    <row r="149" spans="1:22" ht="28.9" hidden="1" x14ac:dyDescent="0.3">
      <c r="A149" s="8" t="s">
        <v>88</v>
      </c>
      <c r="B149" s="8" t="s">
        <v>270</v>
      </c>
      <c r="C149" s="8" t="s">
        <v>271</v>
      </c>
      <c r="D149" s="8" t="s">
        <v>122</v>
      </c>
      <c r="E149" s="8" t="s">
        <v>423</v>
      </c>
      <c r="F149" s="64"/>
      <c r="G149" s="64"/>
      <c r="H149" s="65"/>
      <c r="I149" s="88">
        <f>1200*6</f>
        <v>7200</v>
      </c>
      <c r="J149" s="89"/>
      <c r="K149" s="90"/>
      <c r="L149" s="88">
        <v>0</v>
      </c>
      <c r="M149" s="7"/>
      <c r="N149" s="78"/>
      <c r="O149" s="88">
        <v>0</v>
      </c>
      <c r="P149" s="7"/>
      <c r="Q149" s="78"/>
      <c r="R149" s="52">
        <f t="shared" ref="R149:T149" si="30">+O149+L149+I149</f>
        <v>7200</v>
      </c>
      <c r="S149" s="53">
        <f t="shared" si="30"/>
        <v>0</v>
      </c>
      <c r="T149" s="54">
        <f t="shared" si="30"/>
        <v>0</v>
      </c>
      <c r="U149" s="55">
        <f t="shared" si="27"/>
        <v>7200</v>
      </c>
      <c r="V149" s="1">
        <f>SUBTOTAL(9,U24:U72,U117:U149)</f>
        <v>0</v>
      </c>
    </row>
    <row r="150" spans="1:22" ht="14.45" hidden="1" x14ac:dyDescent="0.3">
      <c r="A150" s="37" t="s">
        <v>88</v>
      </c>
      <c r="B150" s="38" t="s">
        <v>128</v>
      </c>
      <c r="C150" s="39"/>
      <c r="D150" s="40"/>
      <c r="E150" s="40"/>
      <c r="F150" s="41"/>
      <c r="G150" s="41"/>
      <c r="H150" s="42"/>
      <c r="I150" s="43"/>
      <c r="J150" s="42"/>
      <c r="K150" s="44"/>
      <c r="L150" s="43"/>
      <c r="M150" s="42"/>
      <c r="N150" s="44"/>
      <c r="O150" s="43"/>
      <c r="P150" s="42"/>
      <c r="Q150" s="44"/>
      <c r="R150" s="43"/>
      <c r="S150" s="42"/>
      <c r="T150" s="42"/>
      <c r="U150" s="45"/>
    </row>
    <row r="151" spans="1:22" s="3" customFormat="1" ht="57.6" hidden="1" x14ac:dyDescent="0.3">
      <c r="A151" s="79" t="s">
        <v>88</v>
      </c>
      <c r="B151" s="5" t="s">
        <v>144</v>
      </c>
      <c r="C151" s="5" t="s">
        <v>272</v>
      </c>
      <c r="D151" s="5" t="s">
        <v>131</v>
      </c>
      <c r="E151" s="5" t="s">
        <v>131</v>
      </c>
      <c r="F151" s="106"/>
      <c r="G151" s="106"/>
      <c r="H151" s="107"/>
      <c r="I151" s="77">
        <f>330*2*35+80*35*2*2</f>
        <v>34300</v>
      </c>
      <c r="J151" s="7"/>
      <c r="K151" s="78"/>
      <c r="L151" s="77">
        <v>46305</v>
      </c>
      <c r="M151" s="93"/>
      <c r="N151" s="96"/>
      <c r="O151" s="77">
        <v>67142</v>
      </c>
      <c r="P151" s="93"/>
      <c r="Q151" s="96"/>
      <c r="R151" s="52">
        <f t="shared" ref="R151:T152" si="31">+O151+L151+I151</f>
        <v>147747</v>
      </c>
      <c r="S151" s="53">
        <f t="shared" si="31"/>
        <v>0</v>
      </c>
      <c r="T151" s="54">
        <f t="shared" si="31"/>
        <v>0</v>
      </c>
      <c r="U151" s="55">
        <f t="shared" si="27"/>
        <v>147747</v>
      </c>
    </row>
    <row r="152" spans="1:22" ht="43.15" hidden="1" x14ac:dyDescent="0.3">
      <c r="A152" s="62" t="s">
        <v>88</v>
      </c>
      <c r="B152" s="8" t="s">
        <v>133</v>
      </c>
      <c r="C152" s="8" t="s">
        <v>273</v>
      </c>
      <c r="D152" s="8" t="s">
        <v>131</v>
      </c>
      <c r="E152" s="5" t="s">
        <v>131</v>
      </c>
      <c r="F152" s="9"/>
      <c r="G152" s="9"/>
      <c r="H152" s="63"/>
      <c r="I152" s="88">
        <f>130*30</f>
        <v>3900</v>
      </c>
      <c r="J152" s="89"/>
      <c r="K152" s="90"/>
      <c r="L152" s="88">
        <v>5265</v>
      </c>
      <c r="M152" s="7"/>
      <c r="N152" s="78"/>
      <c r="O152" s="88">
        <v>7634</v>
      </c>
      <c r="P152" s="7"/>
      <c r="Q152" s="78"/>
      <c r="R152" s="52">
        <f t="shared" si="31"/>
        <v>16799</v>
      </c>
      <c r="S152" s="53">
        <f t="shared" si="31"/>
        <v>0</v>
      </c>
      <c r="T152" s="54">
        <f t="shared" si="31"/>
        <v>0</v>
      </c>
      <c r="U152" s="55">
        <f t="shared" si="27"/>
        <v>16799</v>
      </c>
    </row>
    <row r="153" spans="1:22" ht="14.45" hidden="1" x14ac:dyDescent="0.3">
      <c r="A153" s="37" t="s">
        <v>88</v>
      </c>
      <c r="B153" s="38" t="s">
        <v>197</v>
      </c>
      <c r="C153" s="39"/>
      <c r="D153" s="40"/>
      <c r="E153" s="40"/>
      <c r="F153" s="41"/>
      <c r="G153" s="41"/>
      <c r="H153" s="42"/>
      <c r="I153" s="43"/>
      <c r="J153" s="42"/>
      <c r="K153" s="44"/>
      <c r="L153" s="43"/>
      <c r="M153" s="42"/>
      <c r="N153" s="44"/>
      <c r="O153" s="43"/>
      <c r="P153" s="42"/>
      <c r="Q153" s="44"/>
      <c r="R153" s="43"/>
      <c r="S153" s="42"/>
      <c r="T153" s="42"/>
      <c r="U153" s="45"/>
    </row>
    <row r="154" spans="1:22" ht="14.45" hidden="1" x14ac:dyDescent="0.3">
      <c r="A154" s="62" t="s">
        <v>88</v>
      </c>
      <c r="B154" s="8" t="s">
        <v>274</v>
      </c>
      <c r="C154" s="8"/>
      <c r="D154" s="91" t="s">
        <v>127</v>
      </c>
      <c r="E154" s="186" t="s">
        <v>424</v>
      </c>
      <c r="F154" s="9"/>
      <c r="G154" s="9"/>
      <c r="H154" s="63"/>
      <c r="I154" s="88">
        <v>20000</v>
      </c>
      <c r="J154" s="89"/>
      <c r="K154" s="90"/>
      <c r="L154" s="88">
        <v>23000</v>
      </c>
      <c r="M154" s="7"/>
      <c r="N154" s="78"/>
      <c r="O154" s="88">
        <v>26000</v>
      </c>
      <c r="P154" s="7"/>
      <c r="Q154" s="78"/>
      <c r="R154" s="52">
        <f t="shared" ref="R154:T154" si="32">+O154+L154+I154</f>
        <v>69000</v>
      </c>
      <c r="S154" s="53">
        <f t="shared" si="32"/>
        <v>0</v>
      </c>
      <c r="T154" s="54">
        <f t="shared" si="32"/>
        <v>0</v>
      </c>
      <c r="U154" s="55">
        <f t="shared" si="27"/>
        <v>69000</v>
      </c>
    </row>
    <row r="155" spans="1:22" s="113" customFormat="1" ht="14.45" hidden="1" x14ac:dyDescent="0.3">
      <c r="A155" s="108" t="s">
        <v>88</v>
      </c>
      <c r="B155" s="109" t="s">
        <v>275</v>
      </c>
      <c r="C155" s="109"/>
      <c r="D155" s="110"/>
      <c r="E155" s="110"/>
      <c r="F155" s="111"/>
      <c r="G155" s="111"/>
      <c r="H155" s="69"/>
      <c r="I155" s="112">
        <f>SUM(I5:I154)</f>
        <v>1184070</v>
      </c>
      <c r="J155" s="112">
        <f t="shared" ref="J155:U155" si="33">SUM(J5:J154)</f>
        <v>5234347.7723076949</v>
      </c>
      <c r="K155" s="112">
        <f t="shared" si="33"/>
        <v>0</v>
      </c>
      <c r="L155" s="112">
        <f t="shared" si="33"/>
        <v>1468134</v>
      </c>
      <c r="M155" s="112">
        <f t="shared" si="33"/>
        <v>7662163.7153846156</v>
      </c>
      <c r="N155" s="112">
        <f t="shared" si="33"/>
        <v>0</v>
      </c>
      <c r="O155" s="112">
        <f t="shared" si="33"/>
        <v>1643728.05</v>
      </c>
      <c r="P155" s="112">
        <f t="shared" si="33"/>
        <v>11154918.375</v>
      </c>
      <c r="Q155" s="112">
        <f t="shared" si="33"/>
        <v>0</v>
      </c>
      <c r="R155" s="112">
        <f t="shared" si="33"/>
        <v>4295932.05</v>
      </c>
      <c r="S155" s="112">
        <f t="shared" si="33"/>
        <v>24051429.862692297</v>
      </c>
      <c r="T155" s="112">
        <f t="shared" si="33"/>
        <v>0</v>
      </c>
      <c r="U155" s="112">
        <f t="shared" si="33"/>
        <v>28347361.912692301</v>
      </c>
    </row>
    <row r="156" spans="1:22" s="113" customFormat="1" ht="14.45" hidden="1" x14ac:dyDescent="0.3">
      <c r="A156" s="114" t="s">
        <v>276</v>
      </c>
      <c r="B156" s="115" t="s">
        <v>277</v>
      </c>
      <c r="C156" s="115"/>
      <c r="D156" s="116"/>
      <c r="E156" s="116"/>
      <c r="F156" s="117"/>
      <c r="G156" s="117"/>
      <c r="H156" s="118"/>
      <c r="I156" s="119"/>
      <c r="J156" s="120"/>
      <c r="K156" s="121"/>
      <c r="L156" s="119"/>
      <c r="M156" s="120"/>
      <c r="N156" s="121"/>
      <c r="O156" s="119"/>
      <c r="P156" s="120"/>
      <c r="Q156" s="121"/>
      <c r="R156" s="119"/>
      <c r="S156" s="120"/>
      <c r="T156" s="122"/>
      <c r="U156" s="123"/>
    </row>
    <row r="157" spans="1:22" ht="14.45" hidden="1" x14ac:dyDescent="0.3">
      <c r="A157" s="37"/>
      <c r="B157" s="38" t="s">
        <v>278</v>
      </c>
      <c r="C157" s="39"/>
      <c r="D157" s="40"/>
      <c r="E157" s="40"/>
      <c r="F157" s="41"/>
      <c r="G157" s="41"/>
      <c r="H157" s="42"/>
      <c r="I157" s="43"/>
      <c r="J157" s="42"/>
      <c r="K157" s="44"/>
      <c r="L157" s="43"/>
      <c r="M157" s="42"/>
      <c r="N157" s="44"/>
      <c r="O157" s="43"/>
      <c r="P157" s="42"/>
      <c r="Q157" s="44"/>
      <c r="R157" s="43"/>
      <c r="S157" s="42"/>
      <c r="T157" s="42"/>
      <c r="U157" s="45"/>
    </row>
    <row r="158" spans="1:22" s="3" customFormat="1" ht="57.6" hidden="1" x14ac:dyDescent="0.3">
      <c r="A158" s="79" t="s">
        <v>279</v>
      </c>
      <c r="B158" s="5" t="s">
        <v>280</v>
      </c>
      <c r="C158" s="98">
        <v>0.15</v>
      </c>
      <c r="D158" s="68" t="s">
        <v>281</v>
      </c>
      <c r="E158" s="5" t="s">
        <v>426</v>
      </c>
      <c r="F158" s="75"/>
      <c r="G158" s="75"/>
      <c r="H158" s="76"/>
      <c r="I158" s="77">
        <v>6808801.3513782118</v>
      </c>
      <c r="J158" s="7"/>
      <c r="K158" s="78"/>
      <c r="L158" s="77"/>
      <c r="M158" s="50"/>
      <c r="N158" s="51"/>
      <c r="O158" s="77"/>
      <c r="P158" s="50"/>
      <c r="Q158" s="51"/>
      <c r="R158" s="52">
        <f t="shared" ref="R158:T168" si="34">+O158+L158+I158</f>
        <v>6808801.3513782118</v>
      </c>
      <c r="S158" s="53">
        <f t="shared" si="34"/>
        <v>0</v>
      </c>
      <c r="T158" s="54">
        <f t="shared" si="34"/>
        <v>0</v>
      </c>
      <c r="U158" s="55">
        <f t="shared" si="27"/>
        <v>6808801.3513782118</v>
      </c>
    </row>
    <row r="159" spans="1:22" s="3" customFormat="1" ht="28.9" hidden="1" x14ac:dyDescent="0.3">
      <c r="A159" s="79" t="s">
        <v>279</v>
      </c>
      <c r="B159" s="5" t="s">
        <v>282</v>
      </c>
      <c r="C159" s="98">
        <v>0.05</v>
      </c>
      <c r="D159" s="68" t="s">
        <v>281</v>
      </c>
      <c r="E159" s="5" t="s">
        <v>426</v>
      </c>
      <c r="F159" s="75"/>
      <c r="G159" s="75"/>
      <c r="H159" s="76"/>
      <c r="I159" s="77"/>
      <c r="J159" s="7"/>
      <c r="K159" s="78"/>
      <c r="L159" s="77">
        <v>2269600.4504594039</v>
      </c>
      <c r="M159" s="50"/>
      <c r="N159" s="51"/>
      <c r="O159" s="77"/>
      <c r="P159" s="50"/>
      <c r="Q159" s="51"/>
      <c r="R159" s="52">
        <f t="shared" si="34"/>
        <v>2269600.4504594039</v>
      </c>
      <c r="S159" s="53">
        <f t="shared" si="34"/>
        <v>0</v>
      </c>
      <c r="T159" s="54">
        <f t="shared" si="34"/>
        <v>0</v>
      </c>
      <c r="U159" s="55">
        <f t="shared" si="27"/>
        <v>2269600.4504594039</v>
      </c>
    </row>
    <row r="160" spans="1:22" s="3" customFormat="1" ht="28.9" hidden="1" x14ac:dyDescent="0.3">
      <c r="A160" s="79" t="s">
        <v>279</v>
      </c>
      <c r="B160" s="5" t="s">
        <v>283</v>
      </c>
      <c r="C160" s="98">
        <v>0.05</v>
      </c>
      <c r="D160" s="68" t="s">
        <v>281</v>
      </c>
      <c r="E160" s="5" t="s">
        <v>426</v>
      </c>
      <c r="F160" s="75"/>
      <c r="G160" s="75"/>
      <c r="H160" s="76"/>
      <c r="I160" s="77">
        <v>2269600.4504594039</v>
      </c>
      <c r="J160" s="7"/>
      <c r="K160" s="78"/>
      <c r="L160" s="77"/>
      <c r="M160" s="50"/>
      <c r="N160" s="51"/>
      <c r="O160" s="77"/>
      <c r="P160" s="50"/>
      <c r="Q160" s="51"/>
      <c r="R160" s="52">
        <f t="shared" si="34"/>
        <v>2269600.4504594039</v>
      </c>
      <c r="S160" s="53">
        <f t="shared" si="34"/>
        <v>0</v>
      </c>
      <c r="T160" s="54">
        <f t="shared" si="34"/>
        <v>0</v>
      </c>
      <c r="U160" s="55">
        <f t="shared" si="27"/>
        <v>2269600.4504594039</v>
      </c>
    </row>
    <row r="161" spans="1:21" s="3" customFormat="1" ht="28.9" hidden="1" x14ac:dyDescent="0.3">
      <c r="A161" s="79" t="s">
        <v>279</v>
      </c>
      <c r="B161" s="5" t="s">
        <v>284</v>
      </c>
      <c r="C161" s="98">
        <v>0.1</v>
      </c>
      <c r="D161" s="68" t="s">
        <v>281</v>
      </c>
      <c r="E161" s="5" t="s">
        <v>426</v>
      </c>
      <c r="F161" s="75"/>
      <c r="G161" s="75"/>
      <c r="H161" s="76"/>
      <c r="I161" s="77">
        <v>4539200.9009188078</v>
      </c>
      <c r="J161" s="7"/>
      <c r="K161" s="78"/>
      <c r="L161" s="77"/>
      <c r="M161" s="50"/>
      <c r="N161" s="51"/>
      <c r="O161" s="77"/>
      <c r="P161" s="50"/>
      <c r="Q161" s="51"/>
      <c r="R161" s="52">
        <f t="shared" si="34"/>
        <v>4539200.9009188078</v>
      </c>
      <c r="S161" s="53">
        <f t="shared" si="34"/>
        <v>0</v>
      </c>
      <c r="T161" s="54">
        <f t="shared" si="34"/>
        <v>0</v>
      </c>
      <c r="U161" s="55">
        <f t="shared" si="27"/>
        <v>4539200.9009188078</v>
      </c>
    </row>
    <row r="162" spans="1:21" s="3" customFormat="1" ht="43.15" hidden="1" x14ac:dyDescent="0.3">
      <c r="A162" s="79" t="s">
        <v>279</v>
      </c>
      <c r="B162" s="5" t="s">
        <v>285</v>
      </c>
      <c r="C162" s="98">
        <v>0.1</v>
      </c>
      <c r="D162" s="68" t="s">
        <v>281</v>
      </c>
      <c r="E162" s="5" t="s">
        <v>426</v>
      </c>
      <c r="F162" s="75"/>
      <c r="G162" s="75"/>
      <c r="H162" s="76"/>
      <c r="I162" s="77"/>
      <c r="J162" s="7"/>
      <c r="K162" s="78"/>
      <c r="L162" s="77"/>
      <c r="M162" s="50"/>
      <c r="N162" s="51"/>
      <c r="O162" s="77">
        <v>4539200.9009188078</v>
      </c>
      <c r="P162" s="50"/>
      <c r="Q162" s="51"/>
      <c r="R162" s="52">
        <f t="shared" si="34"/>
        <v>4539200.9009188078</v>
      </c>
      <c r="S162" s="53">
        <f t="shared" si="34"/>
        <v>0</v>
      </c>
      <c r="T162" s="54">
        <f t="shared" si="34"/>
        <v>0</v>
      </c>
      <c r="U162" s="55">
        <f t="shared" si="27"/>
        <v>4539200.9009188078</v>
      </c>
    </row>
    <row r="163" spans="1:21" s="3" customFormat="1" ht="57.6" hidden="1" x14ac:dyDescent="0.3">
      <c r="A163" s="79" t="s">
        <v>279</v>
      </c>
      <c r="B163" s="5" t="s">
        <v>286</v>
      </c>
      <c r="C163" s="98">
        <v>0.1</v>
      </c>
      <c r="D163" s="68" t="s">
        <v>281</v>
      </c>
      <c r="E163" s="5" t="s">
        <v>426</v>
      </c>
      <c r="F163" s="75"/>
      <c r="G163" s="75"/>
      <c r="H163" s="76"/>
      <c r="I163" s="77">
        <v>4539200.9009188078</v>
      </c>
      <c r="J163" s="7"/>
      <c r="K163" s="78"/>
      <c r="L163" s="77"/>
      <c r="M163" s="50"/>
      <c r="N163" s="51"/>
      <c r="O163" s="77"/>
      <c r="P163" s="50"/>
      <c r="Q163" s="51"/>
      <c r="R163" s="52">
        <f t="shared" si="34"/>
        <v>4539200.9009188078</v>
      </c>
      <c r="S163" s="53">
        <f t="shared" si="34"/>
        <v>0</v>
      </c>
      <c r="T163" s="54">
        <f t="shared" si="34"/>
        <v>0</v>
      </c>
      <c r="U163" s="55">
        <f t="shared" si="27"/>
        <v>4539200.9009188078</v>
      </c>
    </row>
    <row r="164" spans="1:21" s="3" customFormat="1" ht="57.6" hidden="1" x14ac:dyDescent="0.3">
      <c r="A164" s="79" t="s">
        <v>279</v>
      </c>
      <c r="B164" s="5" t="s">
        <v>287</v>
      </c>
      <c r="C164" s="98">
        <v>0.1</v>
      </c>
      <c r="D164" s="68" t="s">
        <v>281</v>
      </c>
      <c r="E164" s="5" t="s">
        <v>426</v>
      </c>
      <c r="F164" s="75"/>
      <c r="G164" s="75"/>
      <c r="H164" s="76"/>
      <c r="I164" s="77"/>
      <c r="J164" s="7"/>
      <c r="K164" s="78"/>
      <c r="L164" s="77">
        <v>4539200.9009188078</v>
      </c>
      <c r="M164" s="50"/>
      <c r="N164" s="51"/>
      <c r="O164" s="77"/>
      <c r="P164" s="50"/>
      <c r="Q164" s="51"/>
      <c r="R164" s="52">
        <f t="shared" si="34"/>
        <v>4539200.9009188078</v>
      </c>
      <c r="S164" s="53">
        <f t="shared" si="34"/>
        <v>0</v>
      </c>
      <c r="T164" s="54">
        <f t="shared" si="34"/>
        <v>0</v>
      </c>
      <c r="U164" s="55">
        <f t="shared" si="27"/>
        <v>4539200.9009188078</v>
      </c>
    </row>
    <row r="165" spans="1:21" s="3" customFormat="1" ht="28.9" hidden="1" x14ac:dyDescent="0.3">
      <c r="A165" s="79" t="s">
        <v>279</v>
      </c>
      <c r="B165" s="5" t="s">
        <v>288</v>
      </c>
      <c r="C165" s="98">
        <v>0.1</v>
      </c>
      <c r="D165" s="68" t="s">
        <v>281</v>
      </c>
      <c r="E165" s="5" t="s">
        <v>426</v>
      </c>
      <c r="F165" s="75"/>
      <c r="G165" s="75"/>
      <c r="H165" s="76"/>
      <c r="I165" s="77">
        <v>4539200.9009188078</v>
      </c>
      <c r="J165" s="7"/>
      <c r="K165" s="78"/>
      <c r="L165" s="77"/>
      <c r="M165" s="50"/>
      <c r="N165" s="51"/>
      <c r="O165" s="77"/>
      <c r="P165" s="50"/>
      <c r="Q165" s="51"/>
      <c r="R165" s="52">
        <f t="shared" si="34"/>
        <v>4539200.9009188078</v>
      </c>
      <c r="S165" s="53">
        <f t="shared" si="34"/>
        <v>0</v>
      </c>
      <c r="T165" s="54">
        <f t="shared" si="34"/>
        <v>0</v>
      </c>
      <c r="U165" s="55">
        <f t="shared" si="27"/>
        <v>4539200.9009188078</v>
      </c>
    </row>
    <row r="166" spans="1:21" s="3" customFormat="1" ht="28.9" hidden="1" x14ac:dyDescent="0.3">
      <c r="A166" s="79" t="s">
        <v>279</v>
      </c>
      <c r="B166" s="5" t="s">
        <v>289</v>
      </c>
      <c r="C166" s="98">
        <v>0.05</v>
      </c>
      <c r="D166" s="68" t="s">
        <v>281</v>
      </c>
      <c r="E166" s="5" t="s">
        <v>426</v>
      </c>
      <c r="F166" s="75"/>
      <c r="G166" s="75"/>
      <c r="H166" s="76"/>
      <c r="I166" s="77"/>
      <c r="J166" s="7"/>
      <c r="K166" s="78"/>
      <c r="L166" s="77">
        <v>2269600.4504594039</v>
      </c>
      <c r="M166" s="50"/>
      <c r="N166" s="51"/>
      <c r="O166" s="77"/>
      <c r="P166" s="50"/>
      <c r="Q166" s="51"/>
      <c r="R166" s="52">
        <f t="shared" si="34"/>
        <v>2269600.4504594039</v>
      </c>
      <c r="S166" s="53">
        <f t="shared" si="34"/>
        <v>0</v>
      </c>
      <c r="T166" s="54">
        <f t="shared" si="34"/>
        <v>0</v>
      </c>
      <c r="U166" s="55">
        <f t="shared" si="27"/>
        <v>2269600.4504594039</v>
      </c>
    </row>
    <row r="167" spans="1:21" s="3" customFormat="1" ht="57.6" hidden="1" x14ac:dyDescent="0.3">
      <c r="A167" s="79" t="s">
        <v>279</v>
      </c>
      <c r="B167" s="5" t="s">
        <v>290</v>
      </c>
      <c r="C167" s="98">
        <v>0.1</v>
      </c>
      <c r="D167" s="68" t="s">
        <v>281</v>
      </c>
      <c r="E167" s="5" t="s">
        <v>426</v>
      </c>
      <c r="F167" s="75"/>
      <c r="G167" s="75"/>
      <c r="H167" s="76"/>
      <c r="I167" s="77"/>
      <c r="J167" s="7"/>
      <c r="K167" s="78"/>
      <c r="L167" s="77">
        <v>4539200.9009188078</v>
      </c>
      <c r="M167" s="50"/>
      <c r="N167" s="51"/>
      <c r="O167" s="77"/>
      <c r="P167" s="50"/>
      <c r="Q167" s="51"/>
      <c r="R167" s="52">
        <f t="shared" si="34"/>
        <v>4539200.9009188078</v>
      </c>
      <c r="S167" s="53">
        <f t="shared" si="34"/>
        <v>0</v>
      </c>
      <c r="T167" s="54">
        <f t="shared" si="34"/>
        <v>0</v>
      </c>
      <c r="U167" s="55">
        <f t="shared" si="27"/>
        <v>4539200.9009188078</v>
      </c>
    </row>
    <row r="168" spans="1:21" s="3" customFormat="1" ht="57.6" hidden="1" x14ac:dyDescent="0.3">
      <c r="A168" s="79" t="s">
        <v>279</v>
      </c>
      <c r="B168" s="5" t="s">
        <v>291</v>
      </c>
      <c r="C168" s="98">
        <v>0.1</v>
      </c>
      <c r="D168" s="68" t="s">
        <v>281</v>
      </c>
      <c r="E168" s="5" t="s">
        <v>426</v>
      </c>
      <c r="F168" s="75"/>
      <c r="G168" s="75"/>
      <c r="H168" s="76"/>
      <c r="I168" s="77"/>
      <c r="J168" s="7"/>
      <c r="K168" s="78"/>
      <c r="L168" s="77"/>
      <c r="M168" s="50"/>
      <c r="N168" s="51"/>
      <c r="O168" s="77">
        <v>4539200.9009188078</v>
      </c>
      <c r="P168" s="50"/>
      <c r="Q168" s="51"/>
      <c r="R168" s="52">
        <f t="shared" si="34"/>
        <v>4539200.9009188078</v>
      </c>
      <c r="S168" s="53">
        <f t="shared" si="34"/>
        <v>0</v>
      </c>
      <c r="T168" s="54">
        <f t="shared" si="34"/>
        <v>0</v>
      </c>
      <c r="U168" s="55">
        <f t="shared" si="27"/>
        <v>4539200.9009188078</v>
      </c>
    </row>
    <row r="169" spans="1:21" ht="14.45" hidden="1" x14ac:dyDescent="0.3">
      <c r="A169" s="37" t="s">
        <v>279</v>
      </c>
      <c r="B169" s="38" t="s">
        <v>292</v>
      </c>
      <c r="C169" s="39"/>
      <c r="D169" s="40"/>
      <c r="E169" s="40"/>
      <c r="F169" s="41"/>
      <c r="G169" s="41"/>
      <c r="H169" s="42"/>
      <c r="I169" s="43"/>
      <c r="J169" s="42"/>
      <c r="K169" s="44"/>
      <c r="L169" s="43"/>
      <c r="M169" s="42"/>
      <c r="N169" s="44"/>
      <c r="O169" s="43"/>
      <c r="P169" s="42"/>
      <c r="Q169" s="44"/>
      <c r="R169" s="43"/>
      <c r="S169" s="42"/>
      <c r="T169" s="42"/>
      <c r="U169" s="45"/>
    </row>
    <row r="170" spans="1:21" s="3" customFormat="1" ht="43.15" hidden="1" x14ac:dyDescent="0.3">
      <c r="A170" s="79" t="s">
        <v>279</v>
      </c>
      <c r="B170" s="5" t="s">
        <v>293</v>
      </c>
      <c r="C170" s="98" t="s">
        <v>294</v>
      </c>
      <c r="D170" s="68" t="s">
        <v>281</v>
      </c>
      <c r="E170" s="5" t="s">
        <v>426</v>
      </c>
      <c r="F170" s="75">
        <v>60</v>
      </c>
      <c r="G170" s="75" t="s">
        <v>295</v>
      </c>
      <c r="H170" s="76">
        <v>10000</v>
      </c>
      <c r="I170" s="77">
        <v>200000</v>
      </c>
      <c r="J170" s="7"/>
      <c r="K170" s="78"/>
      <c r="L170" s="77">
        <v>200000</v>
      </c>
      <c r="M170" s="50"/>
      <c r="N170" s="51"/>
      <c r="O170" s="77">
        <v>200000</v>
      </c>
      <c r="P170" s="50"/>
      <c r="Q170" s="51"/>
      <c r="R170" s="52">
        <f t="shared" ref="R170:T172" si="35">+O170+L170+I170</f>
        <v>600000</v>
      </c>
      <c r="S170" s="53">
        <f t="shared" si="35"/>
        <v>0</v>
      </c>
      <c r="T170" s="54">
        <f t="shared" si="35"/>
        <v>0</v>
      </c>
      <c r="U170" s="55">
        <f t="shared" si="27"/>
        <v>600000</v>
      </c>
    </row>
    <row r="171" spans="1:21" s="3" customFormat="1" ht="14.45" hidden="1" x14ac:dyDescent="0.3">
      <c r="A171" s="79" t="s">
        <v>279</v>
      </c>
      <c r="B171" s="5" t="s">
        <v>296</v>
      </c>
      <c r="C171" s="98" t="s">
        <v>297</v>
      </c>
      <c r="D171" s="68" t="s">
        <v>298</v>
      </c>
      <c r="E171" s="5" t="s">
        <v>422</v>
      </c>
      <c r="F171" s="75">
        <v>3</v>
      </c>
      <c r="G171" s="75" t="s">
        <v>295</v>
      </c>
      <c r="H171" s="76">
        <f>6500/15</f>
        <v>433.33333333333331</v>
      </c>
      <c r="I171" s="77"/>
      <c r="J171" s="7">
        <v>1300</v>
      </c>
      <c r="K171" s="78"/>
      <c r="L171" s="77"/>
      <c r="M171" s="50">
        <v>1300</v>
      </c>
      <c r="N171" s="51"/>
      <c r="O171" s="77"/>
      <c r="P171" s="50">
        <v>1300</v>
      </c>
      <c r="Q171" s="51"/>
      <c r="R171" s="52">
        <f t="shared" si="35"/>
        <v>0</v>
      </c>
      <c r="S171" s="53">
        <f t="shared" si="35"/>
        <v>3900</v>
      </c>
      <c r="T171" s="54">
        <f t="shared" si="35"/>
        <v>0</v>
      </c>
      <c r="U171" s="55">
        <f t="shared" si="27"/>
        <v>3900</v>
      </c>
    </row>
    <row r="172" spans="1:21" s="3" customFormat="1" ht="14.45" hidden="1" x14ac:dyDescent="0.3">
      <c r="A172" s="79" t="s">
        <v>279</v>
      </c>
      <c r="B172" s="5" t="s">
        <v>129</v>
      </c>
      <c r="C172" s="98" t="s">
        <v>299</v>
      </c>
      <c r="D172" s="68" t="s">
        <v>300</v>
      </c>
      <c r="E172" s="5" t="s">
        <v>425</v>
      </c>
      <c r="F172" s="75"/>
      <c r="G172" s="75"/>
      <c r="H172" s="76"/>
      <c r="I172" s="77">
        <f>6333.33333333333*0.6</f>
        <v>3799.9999999999982</v>
      </c>
      <c r="J172" s="7">
        <f>6333*0.4</f>
        <v>2533.2000000000003</v>
      </c>
      <c r="K172" s="78"/>
      <c r="L172" s="77">
        <f>6333.33333333333*0.6</f>
        <v>3799.9999999999982</v>
      </c>
      <c r="M172" s="50">
        <f>6333*0.4</f>
        <v>2533.2000000000003</v>
      </c>
      <c r="N172" s="51"/>
      <c r="O172" s="77">
        <f>6333.33333333333*0.6</f>
        <v>3799.9999999999982</v>
      </c>
      <c r="P172" s="50">
        <f>6333*0.4</f>
        <v>2533.2000000000003</v>
      </c>
      <c r="Q172" s="51"/>
      <c r="R172" s="52">
        <f t="shared" si="35"/>
        <v>11399.999999999995</v>
      </c>
      <c r="S172" s="53">
        <f t="shared" si="35"/>
        <v>7599.6</v>
      </c>
      <c r="T172" s="54">
        <f t="shared" si="35"/>
        <v>0</v>
      </c>
      <c r="U172" s="55">
        <f t="shared" si="27"/>
        <v>18999.599999999995</v>
      </c>
    </row>
    <row r="173" spans="1:21" ht="14.45" hidden="1" x14ac:dyDescent="0.3">
      <c r="A173" s="37" t="s">
        <v>279</v>
      </c>
      <c r="B173" s="38" t="s">
        <v>301</v>
      </c>
      <c r="C173" s="39"/>
      <c r="D173" s="40"/>
      <c r="E173" s="40"/>
      <c r="F173" s="41"/>
      <c r="G173" s="41"/>
      <c r="H173" s="42"/>
      <c r="I173" s="43"/>
      <c r="J173" s="42"/>
      <c r="K173" s="44"/>
      <c r="L173" s="43"/>
      <c r="M173" s="42"/>
      <c r="N173" s="44"/>
      <c r="O173" s="43"/>
      <c r="P173" s="42"/>
      <c r="Q173" s="44"/>
      <c r="R173" s="43"/>
      <c r="S173" s="42"/>
      <c r="T173" s="42"/>
      <c r="U173" s="45"/>
    </row>
    <row r="174" spans="1:21" s="3" customFormat="1" ht="28.9" hidden="1" x14ac:dyDescent="0.3">
      <c r="A174" s="79" t="s">
        <v>279</v>
      </c>
      <c r="B174" s="5" t="s">
        <v>302</v>
      </c>
      <c r="C174" s="98" t="s">
        <v>303</v>
      </c>
      <c r="D174" s="68" t="s">
        <v>281</v>
      </c>
      <c r="E174" s="5" t="s">
        <v>426</v>
      </c>
      <c r="F174" s="75"/>
      <c r="G174" s="75"/>
      <c r="H174" s="76"/>
      <c r="I174" s="77">
        <v>60000</v>
      </c>
      <c r="J174" s="7"/>
      <c r="K174" s="78"/>
      <c r="L174" s="77">
        <v>30000</v>
      </c>
      <c r="M174" s="50"/>
      <c r="N174" s="51"/>
      <c r="O174" s="77">
        <v>20000</v>
      </c>
      <c r="P174" s="50"/>
      <c r="Q174" s="51"/>
      <c r="R174" s="52">
        <f t="shared" ref="R174:T174" si="36">+O174+L174+I174</f>
        <v>110000</v>
      </c>
      <c r="S174" s="53">
        <f t="shared" si="36"/>
        <v>0</v>
      </c>
      <c r="T174" s="54">
        <f t="shared" si="36"/>
        <v>0</v>
      </c>
      <c r="U174" s="55">
        <f t="shared" si="27"/>
        <v>110000</v>
      </c>
    </row>
    <row r="175" spans="1:21" ht="14.45" hidden="1" x14ac:dyDescent="0.3">
      <c r="A175" s="37" t="s">
        <v>279</v>
      </c>
      <c r="B175" s="38" t="s">
        <v>304</v>
      </c>
      <c r="C175" s="39"/>
      <c r="D175" s="40"/>
      <c r="E175" s="40"/>
      <c r="F175" s="41"/>
      <c r="G175" s="41"/>
      <c r="H175" s="42"/>
      <c r="I175" s="43"/>
      <c r="J175" s="42"/>
      <c r="K175" s="44"/>
      <c r="L175" s="43"/>
      <c r="M175" s="42"/>
      <c r="N175" s="44"/>
      <c r="O175" s="43"/>
      <c r="P175" s="42"/>
      <c r="Q175" s="44"/>
      <c r="R175" s="43"/>
      <c r="S175" s="42"/>
      <c r="T175" s="42"/>
      <c r="U175" s="45"/>
    </row>
    <row r="176" spans="1:21" s="3" customFormat="1" ht="28.9" hidden="1" x14ac:dyDescent="0.3">
      <c r="A176" s="79" t="s">
        <v>279</v>
      </c>
      <c r="B176" s="5" t="s">
        <v>2</v>
      </c>
      <c r="C176" s="98" t="s">
        <v>305</v>
      </c>
      <c r="D176" s="68" t="s">
        <v>306</v>
      </c>
      <c r="E176" s="5" t="s">
        <v>124</v>
      </c>
      <c r="F176" s="75"/>
      <c r="G176" s="75"/>
      <c r="H176" s="76"/>
      <c r="I176" s="77">
        <v>0</v>
      </c>
      <c r="J176" s="7"/>
      <c r="K176" s="78"/>
      <c r="L176" s="77">
        <f>1900000*0.2</f>
        <v>380000</v>
      </c>
      <c r="M176" s="50"/>
      <c r="N176" s="51"/>
      <c r="O176" s="77">
        <v>0</v>
      </c>
      <c r="P176" s="50"/>
      <c r="Q176" s="51"/>
      <c r="R176" s="52">
        <f t="shared" ref="R176:T180" si="37">+O176+L176+I176</f>
        <v>380000</v>
      </c>
      <c r="S176" s="53">
        <f t="shared" si="37"/>
        <v>0</v>
      </c>
      <c r="T176" s="54">
        <f t="shared" si="37"/>
        <v>0</v>
      </c>
      <c r="U176" s="55">
        <f t="shared" si="27"/>
        <v>380000</v>
      </c>
    </row>
    <row r="177" spans="1:21" s="3" customFormat="1" ht="14.45" hidden="1" x14ac:dyDescent="0.3">
      <c r="A177" s="79" t="s">
        <v>279</v>
      </c>
      <c r="B177" s="5" t="s">
        <v>3</v>
      </c>
      <c r="C177" s="98"/>
      <c r="D177" s="68" t="s">
        <v>306</v>
      </c>
      <c r="E177" s="5" t="s">
        <v>124</v>
      </c>
      <c r="F177" s="75"/>
      <c r="G177" s="75"/>
      <c r="H177" s="76"/>
      <c r="I177" s="77">
        <v>60545.728927999997</v>
      </c>
      <c r="J177" s="7"/>
      <c r="K177" s="78"/>
      <c r="L177" s="77">
        <v>30000</v>
      </c>
      <c r="M177" s="50"/>
      <c r="N177" s="51"/>
      <c r="O177" s="77">
        <v>30000</v>
      </c>
      <c r="P177" s="50"/>
      <c r="Q177" s="51"/>
      <c r="R177" s="52">
        <f t="shared" si="37"/>
        <v>120545.728928</v>
      </c>
      <c r="S177" s="53">
        <f t="shared" si="37"/>
        <v>0</v>
      </c>
      <c r="T177" s="54">
        <f t="shared" si="37"/>
        <v>0</v>
      </c>
      <c r="U177" s="55">
        <f t="shared" si="27"/>
        <v>120545.728928</v>
      </c>
    </row>
    <row r="178" spans="1:21" s="3" customFormat="1" ht="14.45" hidden="1" x14ac:dyDescent="0.3">
      <c r="A178" s="79" t="s">
        <v>279</v>
      </c>
      <c r="B178" s="5" t="s">
        <v>4</v>
      </c>
      <c r="C178" s="98"/>
      <c r="D178" s="68" t="s">
        <v>306</v>
      </c>
      <c r="E178" s="5" t="s">
        <v>124</v>
      </c>
      <c r="F178" s="75"/>
      <c r="G178" s="75"/>
      <c r="H178" s="76"/>
      <c r="I178" s="77">
        <v>48000</v>
      </c>
      <c r="J178" s="7"/>
      <c r="K178" s="78"/>
      <c r="L178" s="77">
        <v>30000</v>
      </c>
      <c r="M178" s="50"/>
      <c r="N178" s="51"/>
      <c r="O178" s="77">
        <v>20000</v>
      </c>
      <c r="P178" s="50"/>
      <c r="Q178" s="51"/>
      <c r="R178" s="52">
        <f t="shared" si="37"/>
        <v>98000</v>
      </c>
      <c r="S178" s="53">
        <f t="shared" si="37"/>
        <v>0</v>
      </c>
      <c r="T178" s="54">
        <f t="shared" si="37"/>
        <v>0</v>
      </c>
      <c r="U178" s="55">
        <f t="shared" si="27"/>
        <v>98000</v>
      </c>
    </row>
    <row r="179" spans="1:21" s="3" customFormat="1" ht="14.45" hidden="1" x14ac:dyDescent="0.3">
      <c r="A179" s="79" t="s">
        <v>279</v>
      </c>
      <c r="B179" s="5" t="s">
        <v>5</v>
      </c>
      <c r="C179" s="98"/>
      <c r="D179" s="68" t="s">
        <v>306</v>
      </c>
      <c r="E179" s="5" t="s">
        <v>124</v>
      </c>
      <c r="F179" s="75"/>
      <c r="G179" s="75"/>
      <c r="H179" s="76"/>
      <c r="I179" s="77">
        <v>50000</v>
      </c>
      <c r="J179" s="7"/>
      <c r="K179" s="78"/>
      <c r="L179" s="77">
        <v>30000</v>
      </c>
      <c r="M179" s="50"/>
      <c r="N179" s="51"/>
      <c r="O179" s="77">
        <v>30000</v>
      </c>
      <c r="P179" s="50"/>
      <c r="Q179" s="51"/>
      <c r="R179" s="52">
        <f t="shared" si="37"/>
        <v>110000</v>
      </c>
      <c r="S179" s="53">
        <f t="shared" si="37"/>
        <v>0</v>
      </c>
      <c r="T179" s="54">
        <f t="shared" si="37"/>
        <v>0</v>
      </c>
      <c r="U179" s="55">
        <f t="shared" si="27"/>
        <v>110000</v>
      </c>
    </row>
    <row r="180" spans="1:21" s="3" customFormat="1" ht="14.45" hidden="1" x14ac:dyDescent="0.3">
      <c r="A180" s="79" t="s">
        <v>279</v>
      </c>
      <c r="B180" s="5" t="s">
        <v>6</v>
      </c>
      <c r="C180" s="98"/>
      <c r="D180" s="68" t="s">
        <v>306</v>
      </c>
      <c r="E180" s="5" t="s">
        <v>124</v>
      </c>
      <c r="F180" s="75"/>
      <c r="G180" s="75"/>
      <c r="H180" s="76"/>
      <c r="I180" s="77">
        <v>50000</v>
      </c>
      <c r="J180" s="7"/>
      <c r="K180" s="78"/>
      <c r="L180" s="77">
        <v>30000</v>
      </c>
      <c r="M180" s="50"/>
      <c r="N180" s="51"/>
      <c r="O180" s="77">
        <v>30000</v>
      </c>
      <c r="P180" s="50"/>
      <c r="Q180" s="51"/>
      <c r="R180" s="52">
        <f t="shared" si="37"/>
        <v>110000</v>
      </c>
      <c r="S180" s="53">
        <f t="shared" si="37"/>
        <v>0</v>
      </c>
      <c r="T180" s="54">
        <f t="shared" si="37"/>
        <v>0</v>
      </c>
      <c r="U180" s="55">
        <f t="shared" si="27"/>
        <v>110000</v>
      </c>
    </row>
    <row r="181" spans="1:21" ht="14.45" hidden="1" x14ac:dyDescent="0.3">
      <c r="A181" s="37" t="s">
        <v>279</v>
      </c>
      <c r="B181" s="38" t="s">
        <v>307</v>
      </c>
      <c r="C181" s="39"/>
      <c r="D181" s="40"/>
      <c r="E181" s="40"/>
      <c r="F181" s="41"/>
      <c r="G181" s="41"/>
      <c r="H181" s="42"/>
      <c r="I181" s="43"/>
      <c r="J181" s="42"/>
      <c r="K181" s="44"/>
      <c r="L181" s="43"/>
      <c r="M181" s="42"/>
      <c r="N181" s="44"/>
      <c r="O181" s="43"/>
      <c r="P181" s="42"/>
      <c r="Q181" s="44"/>
      <c r="R181" s="43"/>
      <c r="S181" s="42"/>
      <c r="T181" s="42"/>
      <c r="U181" s="45"/>
    </row>
    <row r="182" spans="1:21" s="3" customFormat="1" ht="14.45" hidden="1" x14ac:dyDescent="0.3">
      <c r="A182" s="79" t="s">
        <v>279</v>
      </c>
      <c r="B182" s="5" t="s">
        <v>308</v>
      </c>
      <c r="C182" s="98" t="s">
        <v>309</v>
      </c>
      <c r="D182" s="68" t="s">
        <v>94</v>
      </c>
      <c r="E182" s="5" t="s">
        <v>422</v>
      </c>
      <c r="F182" s="75">
        <v>1</v>
      </c>
      <c r="G182" s="75">
        <v>12</v>
      </c>
      <c r="H182" s="76">
        <v>27748</v>
      </c>
      <c r="I182" s="77"/>
      <c r="J182" s="7">
        <f>+[1]RRHH!I70</f>
        <v>0</v>
      </c>
      <c r="K182" s="78">
        <f>+[1]RRHH!J70</f>
        <v>28857.920000000002</v>
      </c>
      <c r="L182" s="77"/>
      <c r="M182" s="50">
        <f>+[1]RRHH!K70</f>
        <v>0</v>
      </c>
      <c r="N182" s="51">
        <f>+[1]RRHH!L70</f>
        <v>36072.400000000001</v>
      </c>
      <c r="O182" s="77"/>
      <c r="P182" s="50">
        <f>+[1]RRHH!M70</f>
        <v>0</v>
      </c>
      <c r="Q182" s="51">
        <f>+[1]RRHH!N70</f>
        <v>45090.5</v>
      </c>
      <c r="R182" s="52">
        <f t="shared" ref="R182:T216" si="38">+O182+L182+I182</f>
        <v>0</v>
      </c>
      <c r="S182" s="53">
        <f t="shared" si="38"/>
        <v>0</v>
      </c>
      <c r="T182" s="54">
        <f t="shared" si="38"/>
        <v>110020.81999999999</v>
      </c>
      <c r="U182" s="55">
        <f t="shared" si="27"/>
        <v>110020.81999999999</v>
      </c>
    </row>
    <row r="183" spans="1:21" s="3" customFormat="1" ht="28.9" hidden="1" x14ac:dyDescent="0.3">
      <c r="A183" s="79" t="s">
        <v>279</v>
      </c>
      <c r="B183" s="5" t="s">
        <v>310</v>
      </c>
      <c r="C183" s="98" t="s">
        <v>311</v>
      </c>
      <c r="D183" s="68" t="s">
        <v>94</v>
      </c>
      <c r="E183" s="5" t="s">
        <v>422</v>
      </c>
      <c r="F183" s="75">
        <v>2</v>
      </c>
      <c r="G183" s="75">
        <v>12</v>
      </c>
      <c r="H183" s="76">
        <v>13025</v>
      </c>
      <c r="I183" s="77"/>
      <c r="J183" s="7">
        <f>+[1]RRHH!I71</f>
        <v>27092</v>
      </c>
      <c r="K183" s="78">
        <f>+[1]RRHH!J71</f>
        <v>0</v>
      </c>
      <c r="L183" s="77"/>
      <c r="M183" s="50">
        <f>+[1]RRHH!K71</f>
        <v>33865</v>
      </c>
      <c r="N183" s="51">
        <f>+[1]RRHH!L71</f>
        <v>0</v>
      </c>
      <c r="O183" s="77"/>
      <c r="P183" s="50">
        <f>+[1]RRHH!M71</f>
        <v>42331.25</v>
      </c>
      <c r="Q183" s="51">
        <f>+[1]RRHH!N71</f>
        <v>0</v>
      </c>
      <c r="R183" s="52">
        <f t="shared" si="38"/>
        <v>0</v>
      </c>
      <c r="S183" s="53">
        <f t="shared" si="38"/>
        <v>103288.25</v>
      </c>
      <c r="T183" s="54">
        <f t="shared" si="38"/>
        <v>0</v>
      </c>
      <c r="U183" s="55">
        <f t="shared" si="27"/>
        <v>103288.25</v>
      </c>
    </row>
    <row r="184" spans="1:21" s="3" customFormat="1" ht="14.45" hidden="1" x14ac:dyDescent="0.3">
      <c r="A184" s="79" t="s">
        <v>279</v>
      </c>
      <c r="B184" s="5" t="s">
        <v>312</v>
      </c>
      <c r="C184" s="98" t="s">
        <v>313</v>
      </c>
      <c r="D184" s="68" t="s">
        <v>94</v>
      </c>
      <c r="E184" s="5" t="s">
        <v>422</v>
      </c>
      <c r="F184" s="75">
        <v>2</v>
      </c>
      <c r="G184" s="75">
        <v>12</v>
      </c>
      <c r="H184" s="76">
        <v>13025</v>
      </c>
      <c r="I184" s="77"/>
      <c r="J184" s="7">
        <f>+[1]RRHH!I72</f>
        <v>13546</v>
      </c>
      <c r="K184" s="78">
        <f>+[1]RRHH!J72</f>
        <v>13546</v>
      </c>
      <c r="L184" s="77"/>
      <c r="M184" s="50">
        <f>+[1]RRHH!K72</f>
        <v>16932.5</v>
      </c>
      <c r="N184" s="51">
        <f>+[1]RRHH!L72</f>
        <v>16932.5</v>
      </c>
      <c r="O184" s="77"/>
      <c r="P184" s="50">
        <f>+[1]RRHH!M72</f>
        <v>21165.625</v>
      </c>
      <c r="Q184" s="51">
        <f>+[1]RRHH!N72</f>
        <v>21165.625</v>
      </c>
      <c r="R184" s="52">
        <f t="shared" si="38"/>
        <v>0</v>
      </c>
      <c r="S184" s="53">
        <f t="shared" si="38"/>
        <v>51644.125</v>
      </c>
      <c r="T184" s="54">
        <f t="shared" si="38"/>
        <v>51644.125</v>
      </c>
      <c r="U184" s="55">
        <f t="shared" si="27"/>
        <v>103288.25</v>
      </c>
    </row>
    <row r="185" spans="1:21" s="3" customFormat="1" ht="28.9" hidden="1" x14ac:dyDescent="0.3">
      <c r="A185" s="79" t="s">
        <v>279</v>
      </c>
      <c r="B185" s="5" t="s">
        <v>314</v>
      </c>
      <c r="C185" s="98" t="s">
        <v>315</v>
      </c>
      <c r="D185" s="68" t="s">
        <v>94</v>
      </c>
      <c r="E185" s="5" t="s">
        <v>422</v>
      </c>
      <c r="F185" s="75">
        <v>1</v>
      </c>
      <c r="G185" s="75">
        <v>12</v>
      </c>
      <c r="H185" s="76">
        <v>26238</v>
      </c>
      <c r="I185" s="77"/>
      <c r="J185" s="7">
        <f>+[1]RRHH!I73</f>
        <v>27287.52</v>
      </c>
      <c r="K185" s="78">
        <f>+[1]RRHH!J73</f>
        <v>0</v>
      </c>
      <c r="L185" s="77"/>
      <c r="M185" s="50">
        <f>+[1]RRHH!K73</f>
        <v>34109.4</v>
      </c>
      <c r="N185" s="51">
        <f>+[1]RRHH!L73</f>
        <v>0</v>
      </c>
      <c r="O185" s="77"/>
      <c r="P185" s="50">
        <f>+[1]RRHH!M73</f>
        <v>42636.75</v>
      </c>
      <c r="Q185" s="51">
        <f>+[1]RRHH!N73</f>
        <v>0</v>
      </c>
      <c r="R185" s="52">
        <f t="shared" si="38"/>
        <v>0</v>
      </c>
      <c r="S185" s="53">
        <f t="shared" si="38"/>
        <v>104033.67</v>
      </c>
      <c r="T185" s="54">
        <f t="shared" si="38"/>
        <v>0</v>
      </c>
      <c r="U185" s="55">
        <f t="shared" si="27"/>
        <v>104033.67</v>
      </c>
    </row>
    <row r="186" spans="1:21" s="3" customFormat="1" ht="28.9" hidden="1" x14ac:dyDescent="0.3">
      <c r="A186" s="79" t="s">
        <v>279</v>
      </c>
      <c r="B186" s="5" t="s">
        <v>316</v>
      </c>
      <c r="C186" s="98" t="s">
        <v>315</v>
      </c>
      <c r="D186" s="68" t="s">
        <v>94</v>
      </c>
      <c r="E186" s="5" t="s">
        <v>422</v>
      </c>
      <c r="F186" s="75">
        <v>1</v>
      </c>
      <c r="G186" s="75">
        <v>12</v>
      </c>
      <c r="H186" s="76">
        <v>26238</v>
      </c>
      <c r="I186" s="77"/>
      <c r="J186" s="7">
        <f>+[1]RRHH!I74</f>
        <v>27287.52</v>
      </c>
      <c r="K186" s="78">
        <f>+[1]RRHH!J74</f>
        <v>0</v>
      </c>
      <c r="L186" s="77"/>
      <c r="M186" s="50">
        <f>+[1]RRHH!K74</f>
        <v>34109.4</v>
      </c>
      <c r="N186" s="51">
        <f>+[1]RRHH!L74</f>
        <v>0</v>
      </c>
      <c r="O186" s="77"/>
      <c r="P186" s="50">
        <f>+[1]RRHH!M74</f>
        <v>42636.75</v>
      </c>
      <c r="Q186" s="51">
        <f>+[1]RRHH!N74</f>
        <v>0</v>
      </c>
      <c r="R186" s="52">
        <f t="shared" si="38"/>
        <v>0</v>
      </c>
      <c r="S186" s="53">
        <f t="shared" si="38"/>
        <v>104033.67</v>
      </c>
      <c r="T186" s="54">
        <f t="shared" si="38"/>
        <v>0</v>
      </c>
      <c r="U186" s="55">
        <f t="shared" si="27"/>
        <v>104033.67</v>
      </c>
    </row>
    <row r="187" spans="1:21" s="3" customFormat="1" ht="14.45" hidden="1" x14ac:dyDescent="0.3">
      <c r="A187" s="79" t="s">
        <v>279</v>
      </c>
      <c r="B187" s="5" t="s">
        <v>317</v>
      </c>
      <c r="C187" s="98" t="s">
        <v>318</v>
      </c>
      <c r="D187" s="68" t="s">
        <v>94</v>
      </c>
      <c r="E187" s="5" t="s">
        <v>422</v>
      </c>
      <c r="F187" s="75">
        <v>1</v>
      </c>
      <c r="G187" s="75">
        <v>12</v>
      </c>
      <c r="H187" s="76">
        <v>12080</v>
      </c>
      <c r="I187" s="77"/>
      <c r="J187" s="7">
        <f>+[1]RRHH!I75</f>
        <v>12563.2</v>
      </c>
      <c r="K187" s="78">
        <f>+[1]RRHH!J75</f>
        <v>0</v>
      </c>
      <c r="L187" s="77"/>
      <c r="M187" s="50">
        <f>+[1]RRHH!K75</f>
        <v>15704</v>
      </c>
      <c r="N187" s="51">
        <f>+[1]RRHH!L75</f>
        <v>0</v>
      </c>
      <c r="O187" s="77"/>
      <c r="P187" s="50">
        <f>+[1]RRHH!M75</f>
        <v>19630</v>
      </c>
      <c r="Q187" s="51">
        <f>+[1]RRHH!N75</f>
        <v>0</v>
      </c>
      <c r="R187" s="52">
        <f t="shared" si="38"/>
        <v>0</v>
      </c>
      <c r="S187" s="53">
        <f t="shared" si="38"/>
        <v>47897.2</v>
      </c>
      <c r="T187" s="54">
        <f t="shared" si="38"/>
        <v>0</v>
      </c>
      <c r="U187" s="55">
        <f t="shared" si="27"/>
        <v>47897.2</v>
      </c>
    </row>
    <row r="188" spans="1:21" s="3" customFormat="1" ht="14.45" hidden="1" x14ac:dyDescent="0.3">
      <c r="A188" s="79" t="s">
        <v>279</v>
      </c>
      <c r="B188" s="5" t="s">
        <v>319</v>
      </c>
      <c r="C188" s="98" t="s">
        <v>320</v>
      </c>
      <c r="D188" s="68" t="s">
        <v>94</v>
      </c>
      <c r="E188" s="5" t="s">
        <v>422</v>
      </c>
      <c r="F188" s="75">
        <v>3</v>
      </c>
      <c r="G188" s="75">
        <v>12</v>
      </c>
      <c r="H188" s="76">
        <v>18876</v>
      </c>
      <c r="I188" s="77"/>
      <c r="J188" s="7">
        <f>+[1]RRHH!I76</f>
        <v>39262.080000000002</v>
      </c>
      <c r="K188" s="78">
        <f>+[1]RRHH!J76</f>
        <v>19631.04</v>
      </c>
      <c r="L188" s="77"/>
      <c r="M188" s="50">
        <f>+[1]RRHH!K76</f>
        <v>49077.600000000006</v>
      </c>
      <c r="N188" s="51">
        <f>+[1]RRHH!L76</f>
        <v>24538.800000000003</v>
      </c>
      <c r="O188" s="77"/>
      <c r="P188" s="50">
        <f>+[1]RRHH!M76</f>
        <v>61347.000000000007</v>
      </c>
      <c r="Q188" s="51">
        <f>+[1]RRHH!N76</f>
        <v>30673.500000000004</v>
      </c>
      <c r="R188" s="52">
        <f t="shared" si="38"/>
        <v>0</v>
      </c>
      <c r="S188" s="53">
        <f t="shared" si="38"/>
        <v>149686.68</v>
      </c>
      <c r="T188" s="54">
        <f t="shared" si="38"/>
        <v>74843.34</v>
      </c>
      <c r="U188" s="55">
        <f t="shared" si="27"/>
        <v>224530.02</v>
      </c>
    </row>
    <row r="189" spans="1:21" s="3" customFormat="1" ht="14.45" hidden="1" x14ac:dyDescent="0.3">
      <c r="A189" s="79" t="s">
        <v>279</v>
      </c>
      <c r="B189" s="5" t="s">
        <v>321</v>
      </c>
      <c r="C189" s="98" t="s">
        <v>322</v>
      </c>
      <c r="D189" s="68" t="s">
        <v>94</v>
      </c>
      <c r="E189" s="5" t="s">
        <v>422</v>
      </c>
      <c r="F189" s="75">
        <v>17</v>
      </c>
      <c r="G189" s="75">
        <v>12</v>
      </c>
      <c r="H189" s="76">
        <v>16234</v>
      </c>
      <c r="I189" s="77"/>
      <c r="J189" s="7">
        <f>+[1]RRHH!I77</f>
        <v>118183.52</v>
      </c>
      <c r="K189" s="78">
        <f>+[1]RRHH!J77</f>
        <v>168833.6</v>
      </c>
      <c r="L189" s="77"/>
      <c r="M189" s="50">
        <f>+[1]RRHH!K77</f>
        <v>147729.4</v>
      </c>
      <c r="N189" s="51">
        <f>+[1]RRHH!L77</f>
        <v>211042</v>
      </c>
      <c r="O189" s="77"/>
      <c r="P189" s="50">
        <f>+[1]RRHH!M77</f>
        <v>184661.75</v>
      </c>
      <c r="Q189" s="51">
        <f>+[1]RRHH!N77</f>
        <v>263802.5</v>
      </c>
      <c r="R189" s="52">
        <f t="shared" si="38"/>
        <v>0</v>
      </c>
      <c r="S189" s="53">
        <f t="shared" si="38"/>
        <v>450574.67000000004</v>
      </c>
      <c r="T189" s="54">
        <f t="shared" si="38"/>
        <v>643678.1</v>
      </c>
      <c r="U189" s="55">
        <f t="shared" si="27"/>
        <v>1094252.77</v>
      </c>
    </row>
    <row r="190" spans="1:21" s="3" customFormat="1" ht="14.45" hidden="1" x14ac:dyDescent="0.3">
      <c r="A190" s="79" t="s">
        <v>279</v>
      </c>
      <c r="B190" s="5" t="s">
        <v>323</v>
      </c>
      <c r="C190" s="98" t="s">
        <v>311</v>
      </c>
      <c r="D190" s="68" t="s">
        <v>94</v>
      </c>
      <c r="E190" s="5" t="s">
        <v>422</v>
      </c>
      <c r="F190" s="75">
        <v>1</v>
      </c>
      <c r="G190" s="75">
        <v>12</v>
      </c>
      <c r="H190" s="76">
        <v>11137</v>
      </c>
      <c r="I190" s="77"/>
      <c r="J190" s="7">
        <f>+[1]RRHH!I78</f>
        <v>0</v>
      </c>
      <c r="K190" s="78">
        <f>+[1]RRHH!J78</f>
        <v>11582.480000000001</v>
      </c>
      <c r="L190" s="77"/>
      <c r="M190" s="50">
        <f>+[1]RRHH!K78</f>
        <v>0</v>
      </c>
      <c r="N190" s="51">
        <f>+[1]RRHH!L78</f>
        <v>14478.100000000002</v>
      </c>
      <c r="O190" s="77"/>
      <c r="P190" s="50">
        <f>+[1]RRHH!M78</f>
        <v>0</v>
      </c>
      <c r="Q190" s="51">
        <f>+[1]RRHH!N78</f>
        <v>18097.625000000004</v>
      </c>
      <c r="R190" s="52">
        <f t="shared" si="38"/>
        <v>0</v>
      </c>
      <c r="S190" s="53">
        <f t="shared" si="38"/>
        <v>0</v>
      </c>
      <c r="T190" s="54">
        <f t="shared" si="38"/>
        <v>44158.205000000009</v>
      </c>
      <c r="U190" s="55">
        <f t="shared" si="27"/>
        <v>44158.205000000009</v>
      </c>
    </row>
    <row r="191" spans="1:21" s="3" customFormat="1" ht="14.45" hidden="1" x14ac:dyDescent="0.3">
      <c r="A191" s="79" t="s">
        <v>279</v>
      </c>
      <c r="B191" s="5" t="s">
        <v>324</v>
      </c>
      <c r="C191" s="98" t="s">
        <v>325</v>
      </c>
      <c r="D191" s="68" t="s">
        <v>94</v>
      </c>
      <c r="E191" s="5" t="s">
        <v>422</v>
      </c>
      <c r="F191" s="75">
        <v>1</v>
      </c>
      <c r="G191" s="75">
        <v>12</v>
      </c>
      <c r="H191" s="76">
        <v>16234</v>
      </c>
      <c r="I191" s="77"/>
      <c r="J191" s="7">
        <f>+[1]RRHH!I79</f>
        <v>16883.36</v>
      </c>
      <c r="K191" s="78">
        <f>+[1]RRHH!J79</f>
        <v>0</v>
      </c>
      <c r="L191" s="77"/>
      <c r="M191" s="50">
        <f>+[1]RRHH!K79</f>
        <v>21104.2</v>
      </c>
      <c r="N191" s="51">
        <f>+[1]RRHH!L79</f>
        <v>0</v>
      </c>
      <c r="O191" s="77"/>
      <c r="P191" s="50">
        <f>+[1]RRHH!M79</f>
        <v>26380.25</v>
      </c>
      <c r="Q191" s="51">
        <f>+[1]RRHH!N79</f>
        <v>0</v>
      </c>
      <c r="R191" s="52">
        <f t="shared" si="38"/>
        <v>0</v>
      </c>
      <c r="S191" s="53">
        <f t="shared" si="38"/>
        <v>64367.81</v>
      </c>
      <c r="T191" s="54">
        <f t="shared" si="38"/>
        <v>0</v>
      </c>
      <c r="U191" s="55">
        <f t="shared" si="27"/>
        <v>64367.81</v>
      </c>
    </row>
    <row r="192" spans="1:21" s="3" customFormat="1" ht="28.9" hidden="1" x14ac:dyDescent="0.3">
      <c r="A192" s="79" t="s">
        <v>279</v>
      </c>
      <c r="B192" s="5" t="s">
        <v>326</v>
      </c>
      <c r="C192" s="98" t="s">
        <v>327</v>
      </c>
      <c r="D192" s="68" t="s">
        <v>94</v>
      </c>
      <c r="E192" s="5" t="s">
        <v>422</v>
      </c>
      <c r="F192" s="75">
        <v>1</v>
      </c>
      <c r="G192" s="75">
        <v>12</v>
      </c>
      <c r="H192" s="76">
        <v>15101</v>
      </c>
      <c r="I192" s="77"/>
      <c r="J192" s="7">
        <f>+[1]RRHH!I80</f>
        <v>15705.04</v>
      </c>
      <c r="K192" s="78">
        <f>+[1]RRHH!J80</f>
        <v>0</v>
      </c>
      <c r="L192" s="77"/>
      <c r="M192" s="50">
        <f>+[1]RRHH!K80</f>
        <v>19631.300000000003</v>
      </c>
      <c r="N192" s="51">
        <f>+[1]RRHH!L80</f>
        <v>0</v>
      </c>
      <c r="O192" s="77"/>
      <c r="P192" s="50">
        <f>+[1]RRHH!M80</f>
        <v>24539.125000000004</v>
      </c>
      <c r="Q192" s="51">
        <f>+[1]RRHH!N80</f>
        <v>0</v>
      </c>
      <c r="R192" s="52">
        <f t="shared" si="38"/>
        <v>0</v>
      </c>
      <c r="S192" s="53">
        <f t="shared" si="38"/>
        <v>59875.465000000004</v>
      </c>
      <c r="T192" s="54">
        <f t="shared" si="38"/>
        <v>0</v>
      </c>
      <c r="U192" s="55">
        <f t="shared" si="27"/>
        <v>59875.465000000004</v>
      </c>
    </row>
    <row r="193" spans="1:21" s="3" customFormat="1" ht="14.45" hidden="1" x14ac:dyDescent="0.3">
      <c r="A193" s="79" t="s">
        <v>279</v>
      </c>
      <c r="B193" s="5" t="s">
        <v>328</v>
      </c>
      <c r="C193" s="98" t="s">
        <v>329</v>
      </c>
      <c r="D193" s="68" t="s">
        <v>94</v>
      </c>
      <c r="E193" s="5" t="s">
        <v>422</v>
      </c>
      <c r="F193" s="75">
        <v>24</v>
      </c>
      <c r="G193" s="75">
        <v>12</v>
      </c>
      <c r="H193" s="76">
        <v>21896</v>
      </c>
      <c r="I193" s="77"/>
      <c r="J193" s="7">
        <f>+[1]RRHH!I81</f>
        <v>546524.16000000003</v>
      </c>
      <c r="K193" s="78">
        <f>+[1]RRHH!J81</f>
        <v>0</v>
      </c>
      <c r="L193" s="77"/>
      <c r="M193" s="50">
        <f>+[1]RRHH!K81</f>
        <v>683155.20000000007</v>
      </c>
      <c r="N193" s="51">
        <f>+[1]RRHH!L81</f>
        <v>0</v>
      </c>
      <c r="O193" s="77"/>
      <c r="P193" s="50">
        <f>+[1]RRHH!M81</f>
        <v>853944.00000000012</v>
      </c>
      <c r="Q193" s="51">
        <f>+[1]RRHH!N81</f>
        <v>0</v>
      </c>
      <c r="R193" s="52">
        <f t="shared" si="38"/>
        <v>0</v>
      </c>
      <c r="S193" s="53">
        <f t="shared" si="38"/>
        <v>2083623.3600000003</v>
      </c>
      <c r="T193" s="54">
        <f t="shared" si="38"/>
        <v>0</v>
      </c>
      <c r="U193" s="55">
        <f t="shared" si="27"/>
        <v>2083623.3600000003</v>
      </c>
    </row>
    <row r="194" spans="1:21" s="3" customFormat="1" ht="14.45" hidden="1" x14ac:dyDescent="0.3">
      <c r="A194" s="79" t="s">
        <v>279</v>
      </c>
      <c r="B194" s="5" t="s">
        <v>330</v>
      </c>
      <c r="C194" s="98" t="s">
        <v>331</v>
      </c>
      <c r="D194" s="68" t="s">
        <v>94</v>
      </c>
      <c r="E194" s="5" t="s">
        <v>422</v>
      </c>
      <c r="F194" s="75">
        <v>1</v>
      </c>
      <c r="G194" s="75">
        <v>12</v>
      </c>
      <c r="H194" s="76">
        <v>23406</v>
      </c>
      <c r="I194" s="77"/>
      <c r="J194" s="7">
        <f>+[1]RRHH!I82</f>
        <v>0</v>
      </c>
      <c r="K194" s="78">
        <f>+[1]RRHH!J82</f>
        <v>24342.239999999998</v>
      </c>
      <c r="L194" s="77"/>
      <c r="M194" s="50">
        <f>+[1]RRHH!K82</f>
        <v>0</v>
      </c>
      <c r="N194" s="51">
        <f>+[1]RRHH!L82</f>
        <v>30427.799999999996</v>
      </c>
      <c r="O194" s="77"/>
      <c r="P194" s="50">
        <f>+[1]RRHH!M82</f>
        <v>0</v>
      </c>
      <c r="Q194" s="51">
        <f>+[1]RRHH!N82</f>
        <v>38034.749999999993</v>
      </c>
      <c r="R194" s="52">
        <f t="shared" si="38"/>
        <v>0</v>
      </c>
      <c r="S194" s="53">
        <f t="shared" si="38"/>
        <v>0</v>
      </c>
      <c r="T194" s="54">
        <f t="shared" si="38"/>
        <v>92804.789999999979</v>
      </c>
      <c r="U194" s="55">
        <f t="shared" si="27"/>
        <v>92804.789999999979</v>
      </c>
    </row>
    <row r="195" spans="1:21" s="3" customFormat="1" ht="14.45" hidden="1" x14ac:dyDescent="0.3">
      <c r="A195" s="79" t="s">
        <v>279</v>
      </c>
      <c r="B195" s="5" t="s">
        <v>332</v>
      </c>
      <c r="C195" s="98" t="s">
        <v>333</v>
      </c>
      <c r="D195" s="68" t="s">
        <v>94</v>
      </c>
      <c r="E195" s="5" t="s">
        <v>422</v>
      </c>
      <c r="F195" s="75">
        <v>4</v>
      </c>
      <c r="G195" s="75">
        <v>12</v>
      </c>
      <c r="H195" s="76">
        <v>13968</v>
      </c>
      <c r="I195" s="77"/>
      <c r="J195" s="7">
        <f>+[1]RRHH!I83</f>
        <v>29053.440000000002</v>
      </c>
      <c r="K195" s="78">
        <f>+[1]RRHH!J83</f>
        <v>29053.440000000002</v>
      </c>
      <c r="L195" s="77"/>
      <c r="M195" s="50">
        <f>+[1]RRHH!K83</f>
        <v>36316.800000000003</v>
      </c>
      <c r="N195" s="51">
        <f>+[1]RRHH!L83</f>
        <v>36316.800000000003</v>
      </c>
      <c r="O195" s="77"/>
      <c r="P195" s="50">
        <f>+[1]RRHH!M83</f>
        <v>45396</v>
      </c>
      <c r="Q195" s="51">
        <f>+[1]RRHH!N83</f>
        <v>45396</v>
      </c>
      <c r="R195" s="52">
        <f t="shared" si="38"/>
        <v>0</v>
      </c>
      <c r="S195" s="53">
        <f t="shared" si="38"/>
        <v>110766.24</v>
      </c>
      <c r="T195" s="54">
        <f t="shared" si="38"/>
        <v>110766.24</v>
      </c>
      <c r="U195" s="55">
        <f t="shared" si="27"/>
        <v>221532.48</v>
      </c>
    </row>
    <row r="196" spans="1:21" s="3" customFormat="1" ht="14.45" hidden="1" x14ac:dyDescent="0.3">
      <c r="A196" s="79" t="s">
        <v>279</v>
      </c>
      <c r="B196" s="5" t="s">
        <v>334</v>
      </c>
      <c r="C196" s="98" t="s">
        <v>335</v>
      </c>
      <c r="D196" s="68" t="s">
        <v>94</v>
      </c>
      <c r="E196" s="5" t="s">
        <v>422</v>
      </c>
      <c r="F196" s="75">
        <v>1</v>
      </c>
      <c r="G196" s="75">
        <v>12</v>
      </c>
      <c r="H196" s="76">
        <v>10193</v>
      </c>
      <c r="I196" s="77"/>
      <c r="J196" s="7">
        <f>+[1]RRHH!I84</f>
        <v>10600.720000000001</v>
      </c>
      <c r="K196" s="78">
        <f>+[1]RRHH!J84</f>
        <v>0</v>
      </c>
      <c r="L196" s="77"/>
      <c r="M196" s="50">
        <f>+[1]RRHH!K84</f>
        <v>13250.900000000001</v>
      </c>
      <c r="N196" s="51">
        <f>+[1]RRHH!L84</f>
        <v>0</v>
      </c>
      <c r="O196" s="77"/>
      <c r="P196" s="50">
        <f>+[1]RRHH!M84</f>
        <v>16563.625</v>
      </c>
      <c r="Q196" s="51">
        <f>+[1]RRHH!N84</f>
        <v>0</v>
      </c>
      <c r="R196" s="52">
        <f t="shared" si="38"/>
        <v>0</v>
      </c>
      <c r="S196" s="53">
        <f t="shared" si="38"/>
        <v>40415.245000000003</v>
      </c>
      <c r="T196" s="54">
        <f t="shared" si="38"/>
        <v>0</v>
      </c>
      <c r="U196" s="55">
        <f t="shared" si="27"/>
        <v>40415.245000000003</v>
      </c>
    </row>
    <row r="197" spans="1:21" s="3" customFormat="1" ht="14.45" hidden="1" x14ac:dyDescent="0.3">
      <c r="A197" s="79" t="s">
        <v>279</v>
      </c>
      <c r="B197" s="5" t="s">
        <v>336</v>
      </c>
      <c r="C197" s="98" t="s">
        <v>333</v>
      </c>
      <c r="D197" s="68" t="s">
        <v>94</v>
      </c>
      <c r="E197" s="5" t="s">
        <v>422</v>
      </c>
      <c r="F197" s="75">
        <v>27</v>
      </c>
      <c r="G197" s="75">
        <v>12</v>
      </c>
      <c r="H197" s="76">
        <v>12080</v>
      </c>
      <c r="I197" s="77"/>
      <c r="J197" s="7">
        <f>+[1]RRHH!I85</f>
        <v>339206.40000000002</v>
      </c>
      <c r="K197" s="78">
        <f>+[1]RRHH!J85</f>
        <v>0</v>
      </c>
      <c r="L197" s="77"/>
      <c r="M197" s="50">
        <f>+[1]RRHH!K85</f>
        <v>424008</v>
      </c>
      <c r="N197" s="51">
        <f>+[1]RRHH!L85</f>
        <v>0</v>
      </c>
      <c r="O197" s="77"/>
      <c r="P197" s="50">
        <f>+[1]RRHH!M85</f>
        <v>530010</v>
      </c>
      <c r="Q197" s="51">
        <f>+[1]RRHH!N85</f>
        <v>0</v>
      </c>
      <c r="R197" s="52">
        <f t="shared" si="38"/>
        <v>0</v>
      </c>
      <c r="S197" s="53">
        <f t="shared" si="38"/>
        <v>1293224.3999999999</v>
      </c>
      <c r="T197" s="54">
        <f t="shared" si="38"/>
        <v>0</v>
      </c>
      <c r="U197" s="55">
        <f t="shared" si="27"/>
        <v>1293224.3999999999</v>
      </c>
    </row>
    <row r="198" spans="1:21" s="3" customFormat="1" ht="14.45" hidden="1" x14ac:dyDescent="0.3">
      <c r="A198" s="79" t="s">
        <v>279</v>
      </c>
      <c r="B198" s="5" t="s">
        <v>337</v>
      </c>
      <c r="C198" s="98" t="s">
        <v>338</v>
      </c>
      <c r="D198" s="68" t="s">
        <v>94</v>
      </c>
      <c r="E198" s="5" t="s">
        <v>422</v>
      </c>
      <c r="F198" s="75">
        <v>24</v>
      </c>
      <c r="G198" s="75">
        <v>12</v>
      </c>
      <c r="H198" s="76">
        <v>15101</v>
      </c>
      <c r="I198" s="77"/>
      <c r="J198" s="7">
        <f>+[1]RRHH!I86</f>
        <v>376920.96</v>
      </c>
      <c r="K198" s="78">
        <f>+[1]RRHH!J86</f>
        <v>0</v>
      </c>
      <c r="L198" s="77"/>
      <c r="M198" s="50">
        <f>+[1]RRHH!K86</f>
        <v>471151.2</v>
      </c>
      <c r="N198" s="51">
        <f>+[1]RRHH!L86</f>
        <v>0</v>
      </c>
      <c r="O198" s="77"/>
      <c r="P198" s="50">
        <f>+[1]RRHH!M86</f>
        <v>588939</v>
      </c>
      <c r="Q198" s="51">
        <f>+[1]RRHH!N86</f>
        <v>0</v>
      </c>
      <c r="R198" s="52">
        <f t="shared" si="38"/>
        <v>0</v>
      </c>
      <c r="S198" s="53">
        <f t="shared" si="38"/>
        <v>1437011.16</v>
      </c>
      <c r="T198" s="54">
        <f t="shared" si="38"/>
        <v>0</v>
      </c>
      <c r="U198" s="55">
        <f t="shared" si="27"/>
        <v>1437011.16</v>
      </c>
    </row>
    <row r="199" spans="1:21" s="3" customFormat="1" ht="14.45" hidden="1" x14ac:dyDescent="0.3">
      <c r="A199" s="79" t="s">
        <v>279</v>
      </c>
      <c r="B199" s="5" t="s">
        <v>339</v>
      </c>
      <c r="C199" s="98" t="s">
        <v>335</v>
      </c>
      <c r="D199" s="68" t="s">
        <v>94</v>
      </c>
      <c r="E199" s="5" t="s">
        <v>422</v>
      </c>
      <c r="F199" s="75">
        <v>25</v>
      </c>
      <c r="G199" s="75">
        <v>12</v>
      </c>
      <c r="H199" s="76">
        <v>11137</v>
      </c>
      <c r="I199" s="77"/>
      <c r="J199" s="7">
        <f>+[1]RRHH!I87</f>
        <v>289562</v>
      </c>
      <c r="K199" s="78">
        <f>+[1]RRHH!J87</f>
        <v>0</v>
      </c>
      <c r="L199" s="77"/>
      <c r="M199" s="50">
        <f>+[1]RRHH!K87</f>
        <v>361952.5</v>
      </c>
      <c r="N199" s="51">
        <f>+[1]RRHH!L87</f>
        <v>0</v>
      </c>
      <c r="O199" s="77"/>
      <c r="P199" s="50">
        <f>+[1]RRHH!M87</f>
        <v>452440.625</v>
      </c>
      <c r="Q199" s="51">
        <f>+[1]RRHH!N87</f>
        <v>0</v>
      </c>
      <c r="R199" s="52">
        <f t="shared" si="38"/>
        <v>0</v>
      </c>
      <c r="S199" s="53">
        <f t="shared" si="38"/>
        <v>1103955.125</v>
      </c>
      <c r="T199" s="54">
        <f t="shared" si="38"/>
        <v>0</v>
      </c>
      <c r="U199" s="55">
        <f t="shared" si="27"/>
        <v>1103955.125</v>
      </c>
    </row>
    <row r="200" spans="1:21" s="3" customFormat="1" ht="28.9" hidden="1" x14ac:dyDescent="0.3">
      <c r="A200" s="79" t="s">
        <v>279</v>
      </c>
      <c r="B200" s="5" t="s">
        <v>340</v>
      </c>
      <c r="C200" s="98" t="s">
        <v>315</v>
      </c>
      <c r="D200" s="68" t="s">
        <v>94</v>
      </c>
      <c r="E200" s="5" t="s">
        <v>422</v>
      </c>
      <c r="F200" s="75">
        <v>1</v>
      </c>
      <c r="G200" s="75">
        <v>12</v>
      </c>
      <c r="H200" s="76">
        <v>26238</v>
      </c>
      <c r="I200" s="77"/>
      <c r="J200" s="7">
        <f>+[1]RRHH!I88</f>
        <v>27287.52</v>
      </c>
      <c r="K200" s="78">
        <f>+[1]RRHH!J88</f>
        <v>0</v>
      </c>
      <c r="L200" s="77"/>
      <c r="M200" s="50">
        <f>+[1]RRHH!K88</f>
        <v>34109.4</v>
      </c>
      <c r="N200" s="51">
        <f>+[1]RRHH!L88</f>
        <v>0</v>
      </c>
      <c r="O200" s="77"/>
      <c r="P200" s="50">
        <f>+[1]RRHH!M88</f>
        <v>42636.75</v>
      </c>
      <c r="Q200" s="51">
        <f>+[1]RRHH!N88</f>
        <v>0</v>
      </c>
      <c r="R200" s="52">
        <f t="shared" si="38"/>
        <v>0</v>
      </c>
      <c r="S200" s="53">
        <f t="shared" si="38"/>
        <v>104033.67</v>
      </c>
      <c r="T200" s="54">
        <f t="shared" si="38"/>
        <v>0</v>
      </c>
      <c r="U200" s="55">
        <f t="shared" si="27"/>
        <v>104033.67</v>
      </c>
    </row>
    <row r="201" spans="1:21" s="3" customFormat="1" ht="28.9" hidden="1" x14ac:dyDescent="0.3">
      <c r="A201" s="79" t="s">
        <v>279</v>
      </c>
      <c r="B201" s="5" t="s">
        <v>341</v>
      </c>
      <c r="C201" s="98" t="s">
        <v>333</v>
      </c>
      <c r="D201" s="68" t="s">
        <v>94</v>
      </c>
      <c r="E201" s="5" t="s">
        <v>422</v>
      </c>
      <c r="F201" s="75">
        <v>6</v>
      </c>
      <c r="G201" s="75">
        <v>12</v>
      </c>
      <c r="H201" s="76">
        <v>13025</v>
      </c>
      <c r="I201" s="77"/>
      <c r="J201" s="7">
        <f>+[1]RRHH!I89</f>
        <v>81276</v>
      </c>
      <c r="K201" s="78">
        <f>+[1]RRHH!J89</f>
        <v>0</v>
      </c>
      <c r="L201" s="77"/>
      <c r="M201" s="50">
        <f>+[1]RRHH!K89</f>
        <v>101595</v>
      </c>
      <c r="N201" s="51">
        <f>+[1]RRHH!L89</f>
        <v>0</v>
      </c>
      <c r="O201" s="77"/>
      <c r="P201" s="50">
        <f>+[1]RRHH!M89</f>
        <v>126993.75</v>
      </c>
      <c r="Q201" s="51">
        <f>+[1]RRHH!N89</f>
        <v>0</v>
      </c>
      <c r="R201" s="52">
        <f t="shared" si="38"/>
        <v>0</v>
      </c>
      <c r="S201" s="53">
        <f t="shared" si="38"/>
        <v>309864.75</v>
      </c>
      <c r="T201" s="54">
        <f t="shared" si="38"/>
        <v>0</v>
      </c>
      <c r="U201" s="55">
        <f t="shared" ref="U201:U264" si="39">+R201+S201+T201</f>
        <v>309864.75</v>
      </c>
    </row>
    <row r="202" spans="1:21" s="3" customFormat="1" ht="14.45" hidden="1" x14ac:dyDescent="0.3">
      <c r="A202" s="79" t="s">
        <v>279</v>
      </c>
      <c r="B202" s="5" t="s">
        <v>342</v>
      </c>
      <c r="C202" s="98" t="s">
        <v>343</v>
      </c>
      <c r="D202" s="68" t="s">
        <v>94</v>
      </c>
      <c r="E202" s="5" t="s">
        <v>422</v>
      </c>
      <c r="F202" s="75">
        <v>3</v>
      </c>
      <c r="G202" s="75">
        <v>12</v>
      </c>
      <c r="H202" s="76">
        <v>13025</v>
      </c>
      <c r="I202" s="77"/>
      <c r="J202" s="7">
        <f>+[1]RRHH!I90</f>
        <v>40638</v>
      </c>
      <c r="K202" s="78">
        <f>+[1]RRHH!J90</f>
        <v>0</v>
      </c>
      <c r="L202" s="77"/>
      <c r="M202" s="50">
        <f>+[1]RRHH!K90</f>
        <v>50797.5</v>
      </c>
      <c r="N202" s="51">
        <f>+[1]RRHH!L90</f>
        <v>0</v>
      </c>
      <c r="O202" s="77"/>
      <c r="P202" s="50">
        <f>+[1]RRHH!M90</f>
        <v>63496.875</v>
      </c>
      <c r="Q202" s="51">
        <f>+[1]RRHH!N90</f>
        <v>0</v>
      </c>
      <c r="R202" s="52">
        <f t="shared" si="38"/>
        <v>0</v>
      </c>
      <c r="S202" s="53">
        <f t="shared" si="38"/>
        <v>154932.375</v>
      </c>
      <c r="T202" s="54">
        <f t="shared" si="38"/>
        <v>0</v>
      </c>
      <c r="U202" s="55">
        <f t="shared" si="39"/>
        <v>154932.375</v>
      </c>
    </row>
    <row r="203" spans="1:21" s="3" customFormat="1" ht="14.45" hidden="1" x14ac:dyDescent="0.3">
      <c r="A203" s="79" t="s">
        <v>279</v>
      </c>
      <c r="B203" s="5" t="s">
        <v>344</v>
      </c>
      <c r="C203" s="98" t="s">
        <v>345</v>
      </c>
      <c r="D203" s="68" t="s">
        <v>94</v>
      </c>
      <c r="E203" s="5" t="s">
        <v>422</v>
      </c>
      <c r="F203" s="75">
        <v>1</v>
      </c>
      <c r="G203" s="75">
        <v>12</v>
      </c>
      <c r="H203" s="76">
        <v>20386</v>
      </c>
      <c r="I203" s="77"/>
      <c r="J203" s="7">
        <f>+[1]RRHH!I91</f>
        <v>0</v>
      </c>
      <c r="K203" s="78">
        <f>+[1]RRHH!J91</f>
        <v>21201.439999999999</v>
      </c>
      <c r="L203" s="77"/>
      <c r="M203" s="50">
        <f>+[1]RRHH!K91</f>
        <v>0</v>
      </c>
      <c r="N203" s="51">
        <f>+[1]RRHH!L91</f>
        <v>26501.8</v>
      </c>
      <c r="O203" s="77"/>
      <c r="P203" s="50">
        <f>+[1]RRHH!M91</f>
        <v>0</v>
      </c>
      <c r="Q203" s="51">
        <f>+[1]RRHH!N91</f>
        <v>33127.25</v>
      </c>
      <c r="R203" s="52">
        <f t="shared" si="38"/>
        <v>0</v>
      </c>
      <c r="S203" s="53">
        <f t="shared" si="38"/>
        <v>0</v>
      </c>
      <c r="T203" s="54">
        <f t="shared" si="38"/>
        <v>80830.490000000005</v>
      </c>
      <c r="U203" s="55">
        <f t="shared" si="39"/>
        <v>80830.490000000005</v>
      </c>
    </row>
    <row r="204" spans="1:21" s="3" customFormat="1" ht="28.9" hidden="1" x14ac:dyDescent="0.3">
      <c r="A204" s="79" t="s">
        <v>279</v>
      </c>
      <c r="B204" s="5" t="s">
        <v>346</v>
      </c>
      <c r="C204" s="98" t="s">
        <v>347</v>
      </c>
      <c r="D204" s="68" t="s">
        <v>94</v>
      </c>
      <c r="E204" s="5" t="s">
        <v>422</v>
      </c>
      <c r="F204" s="75">
        <v>3</v>
      </c>
      <c r="G204" s="75">
        <v>12</v>
      </c>
      <c r="H204" s="76">
        <v>15101</v>
      </c>
      <c r="I204" s="77"/>
      <c r="J204" s="7">
        <f>+[1]RRHH!I92</f>
        <v>15705.04</v>
      </c>
      <c r="K204" s="78">
        <f>+[1]RRHH!J92</f>
        <v>31410.080000000002</v>
      </c>
      <c r="L204" s="77"/>
      <c r="M204" s="50">
        <f>+[1]RRHH!K92</f>
        <v>19631.300000000003</v>
      </c>
      <c r="N204" s="51">
        <f>+[1]RRHH!L92</f>
        <v>39262.600000000006</v>
      </c>
      <c r="O204" s="77"/>
      <c r="P204" s="50">
        <f>+[1]RRHH!M92</f>
        <v>24539.125000000004</v>
      </c>
      <c r="Q204" s="51">
        <f>+[1]RRHH!N92</f>
        <v>49078.250000000007</v>
      </c>
      <c r="R204" s="52">
        <f t="shared" si="38"/>
        <v>0</v>
      </c>
      <c r="S204" s="53">
        <f t="shared" si="38"/>
        <v>59875.465000000004</v>
      </c>
      <c r="T204" s="54">
        <f t="shared" si="38"/>
        <v>119750.93000000001</v>
      </c>
      <c r="U204" s="55">
        <f t="shared" si="39"/>
        <v>179626.39500000002</v>
      </c>
    </row>
    <row r="205" spans="1:21" s="3" customFormat="1" ht="28.9" hidden="1" x14ac:dyDescent="0.3">
      <c r="A205" s="79" t="s">
        <v>279</v>
      </c>
      <c r="B205" s="5" t="s">
        <v>348</v>
      </c>
      <c r="C205" s="98" t="s">
        <v>315</v>
      </c>
      <c r="D205" s="68" t="s">
        <v>94</v>
      </c>
      <c r="E205" s="5" t="s">
        <v>422</v>
      </c>
      <c r="F205" s="75">
        <v>1</v>
      </c>
      <c r="G205" s="75">
        <v>12</v>
      </c>
      <c r="H205" s="76">
        <v>26238</v>
      </c>
      <c r="I205" s="77"/>
      <c r="J205" s="7">
        <f>+[1]RRHH!I93</f>
        <v>27287.52</v>
      </c>
      <c r="K205" s="78">
        <f>+[1]RRHH!J93</f>
        <v>0</v>
      </c>
      <c r="L205" s="77"/>
      <c r="M205" s="50">
        <f>+[1]RRHH!K93</f>
        <v>34109.4</v>
      </c>
      <c r="N205" s="51">
        <f>+[1]RRHH!L93</f>
        <v>0</v>
      </c>
      <c r="O205" s="77"/>
      <c r="P205" s="50">
        <f>+[1]RRHH!M93</f>
        <v>42636.75</v>
      </c>
      <c r="Q205" s="51">
        <f>+[1]RRHH!N93</f>
        <v>0</v>
      </c>
      <c r="R205" s="52">
        <f t="shared" si="38"/>
        <v>0</v>
      </c>
      <c r="S205" s="53">
        <f t="shared" si="38"/>
        <v>104033.67</v>
      </c>
      <c r="T205" s="54">
        <f t="shared" si="38"/>
        <v>0</v>
      </c>
      <c r="U205" s="55">
        <f t="shared" si="39"/>
        <v>104033.67</v>
      </c>
    </row>
    <row r="206" spans="1:21" s="3" customFormat="1" ht="14.45" hidden="1" x14ac:dyDescent="0.3">
      <c r="A206" s="79" t="s">
        <v>279</v>
      </c>
      <c r="B206" s="5" t="s">
        <v>349</v>
      </c>
      <c r="C206" s="98" t="s">
        <v>350</v>
      </c>
      <c r="D206" s="68" t="s">
        <v>94</v>
      </c>
      <c r="E206" s="5" t="s">
        <v>422</v>
      </c>
      <c r="F206" s="75">
        <v>1</v>
      </c>
      <c r="G206" s="75">
        <v>12</v>
      </c>
      <c r="H206" s="76">
        <v>20386</v>
      </c>
      <c r="I206" s="77"/>
      <c r="J206" s="7">
        <f>+[1]RRHH!I94</f>
        <v>21201.440000000002</v>
      </c>
      <c r="K206" s="78">
        <f>+[1]RRHH!J94</f>
        <v>0</v>
      </c>
      <c r="L206" s="77"/>
      <c r="M206" s="50">
        <f>+[1]RRHH!K94</f>
        <v>26501.800000000003</v>
      </c>
      <c r="N206" s="51">
        <f>+[1]RRHH!L94</f>
        <v>0</v>
      </c>
      <c r="O206" s="77"/>
      <c r="P206" s="50">
        <f>+[1]RRHH!M94</f>
        <v>33127.25</v>
      </c>
      <c r="Q206" s="51">
        <f>+[1]RRHH!N94</f>
        <v>0</v>
      </c>
      <c r="R206" s="52">
        <f t="shared" si="38"/>
        <v>0</v>
      </c>
      <c r="S206" s="53">
        <f t="shared" si="38"/>
        <v>80830.490000000005</v>
      </c>
      <c r="T206" s="54">
        <f t="shared" si="38"/>
        <v>0</v>
      </c>
      <c r="U206" s="55">
        <f t="shared" si="39"/>
        <v>80830.490000000005</v>
      </c>
    </row>
    <row r="207" spans="1:21" s="3" customFormat="1" ht="14.45" hidden="1" x14ac:dyDescent="0.3">
      <c r="A207" s="79" t="s">
        <v>279</v>
      </c>
      <c r="B207" s="5" t="s">
        <v>351</v>
      </c>
      <c r="C207" s="98" t="s">
        <v>352</v>
      </c>
      <c r="D207" s="68" t="s">
        <v>94</v>
      </c>
      <c r="E207" s="5" t="s">
        <v>422</v>
      </c>
      <c r="F207" s="75">
        <v>5</v>
      </c>
      <c r="G207" s="75">
        <v>12</v>
      </c>
      <c r="H207" s="76">
        <v>13025</v>
      </c>
      <c r="I207" s="77"/>
      <c r="J207" s="7">
        <f>+[1]RRHH!I95</f>
        <v>40638</v>
      </c>
      <c r="K207" s="78">
        <f>+[1]RRHH!J95</f>
        <v>27092</v>
      </c>
      <c r="L207" s="77"/>
      <c r="M207" s="50">
        <f>+[1]RRHH!K95</f>
        <v>50797.5</v>
      </c>
      <c r="N207" s="51">
        <f>+[1]RRHH!L95</f>
        <v>33865</v>
      </c>
      <c r="O207" s="77"/>
      <c r="P207" s="50">
        <f>+[1]RRHH!M95</f>
        <v>63496.875</v>
      </c>
      <c r="Q207" s="51">
        <f>+[1]RRHH!N95</f>
        <v>42331.25</v>
      </c>
      <c r="R207" s="52">
        <f t="shared" si="38"/>
        <v>0</v>
      </c>
      <c r="S207" s="53">
        <f t="shared" si="38"/>
        <v>154932.375</v>
      </c>
      <c r="T207" s="54">
        <f t="shared" si="38"/>
        <v>103288.25</v>
      </c>
      <c r="U207" s="55">
        <f t="shared" si="39"/>
        <v>258220.625</v>
      </c>
    </row>
    <row r="208" spans="1:21" s="3" customFormat="1" ht="14.45" hidden="1" x14ac:dyDescent="0.3">
      <c r="A208" s="79" t="s">
        <v>279</v>
      </c>
      <c r="B208" s="5" t="s">
        <v>353</v>
      </c>
      <c r="C208" s="98" t="s">
        <v>354</v>
      </c>
      <c r="D208" s="68" t="s">
        <v>94</v>
      </c>
      <c r="E208" s="5" t="s">
        <v>422</v>
      </c>
      <c r="F208" s="75">
        <v>1</v>
      </c>
      <c r="G208" s="75">
        <v>12</v>
      </c>
      <c r="H208" s="76">
        <v>18876</v>
      </c>
      <c r="I208" s="77"/>
      <c r="J208" s="7">
        <f>+[1]RRHH!I96</f>
        <v>0</v>
      </c>
      <c r="K208" s="78">
        <f>+[1]RRHH!J96</f>
        <v>19631.039999999997</v>
      </c>
      <c r="L208" s="77"/>
      <c r="M208" s="50">
        <f>+[1]RRHH!K96</f>
        <v>0</v>
      </c>
      <c r="N208" s="51">
        <f>+[1]RRHH!L96</f>
        <v>24538.799999999996</v>
      </c>
      <c r="O208" s="77"/>
      <c r="P208" s="50">
        <f>+[1]RRHH!M96</f>
        <v>0</v>
      </c>
      <c r="Q208" s="51">
        <f>+[1]RRHH!N96</f>
        <v>30673.499999999993</v>
      </c>
      <c r="R208" s="52">
        <f t="shared" si="38"/>
        <v>0</v>
      </c>
      <c r="S208" s="53">
        <f t="shared" si="38"/>
        <v>0</v>
      </c>
      <c r="T208" s="54">
        <f t="shared" si="38"/>
        <v>74843.339999999982</v>
      </c>
      <c r="U208" s="55">
        <f t="shared" si="39"/>
        <v>74843.339999999982</v>
      </c>
    </row>
    <row r="209" spans="1:21" s="3" customFormat="1" ht="28.9" hidden="1" x14ac:dyDescent="0.3">
      <c r="A209" s="79" t="s">
        <v>279</v>
      </c>
      <c r="B209" s="5" t="s">
        <v>355</v>
      </c>
      <c r="C209" s="98" t="s">
        <v>347</v>
      </c>
      <c r="D209" s="68" t="s">
        <v>94</v>
      </c>
      <c r="E209" s="5" t="s">
        <v>422</v>
      </c>
      <c r="F209" s="75">
        <v>2</v>
      </c>
      <c r="G209" s="75">
        <v>12</v>
      </c>
      <c r="H209" s="76">
        <v>17366</v>
      </c>
      <c r="I209" s="77"/>
      <c r="J209" s="7">
        <f>+[1]RRHH!I97</f>
        <v>36121.280000000006</v>
      </c>
      <c r="K209" s="78">
        <f>+[1]RRHH!J97</f>
        <v>0</v>
      </c>
      <c r="L209" s="77"/>
      <c r="M209" s="50">
        <f>+[1]RRHH!K97</f>
        <v>45151.600000000006</v>
      </c>
      <c r="N209" s="51">
        <f>+[1]RRHH!L97</f>
        <v>0</v>
      </c>
      <c r="O209" s="77"/>
      <c r="P209" s="50">
        <f>+[1]RRHH!M97</f>
        <v>56439.500000000007</v>
      </c>
      <c r="Q209" s="51">
        <f>+[1]RRHH!N97</f>
        <v>0</v>
      </c>
      <c r="R209" s="52">
        <f t="shared" si="38"/>
        <v>0</v>
      </c>
      <c r="S209" s="53">
        <f t="shared" si="38"/>
        <v>137712.38</v>
      </c>
      <c r="T209" s="54">
        <f t="shared" si="38"/>
        <v>0</v>
      </c>
      <c r="U209" s="55">
        <f t="shared" si="39"/>
        <v>137712.38</v>
      </c>
    </row>
    <row r="210" spans="1:21" s="3" customFormat="1" ht="14.45" hidden="1" x14ac:dyDescent="0.3">
      <c r="A210" s="79" t="s">
        <v>279</v>
      </c>
      <c r="B210" s="5" t="s">
        <v>356</v>
      </c>
      <c r="C210" s="98" t="s">
        <v>357</v>
      </c>
      <c r="D210" s="68" t="s">
        <v>94</v>
      </c>
      <c r="E210" s="5" t="s">
        <v>422</v>
      </c>
      <c r="F210" s="75">
        <v>1</v>
      </c>
      <c r="G210" s="75">
        <v>12</v>
      </c>
      <c r="H210" s="76">
        <v>17366</v>
      </c>
      <c r="I210" s="77"/>
      <c r="J210" s="7">
        <f>+[1]RRHH!I98</f>
        <v>18060.640000000003</v>
      </c>
      <c r="K210" s="78">
        <f>+[1]RRHH!J98</f>
        <v>0</v>
      </c>
      <c r="L210" s="77"/>
      <c r="M210" s="50">
        <f>+[1]RRHH!K98</f>
        <v>22575.800000000003</v>
      </c>
      <c r="N210" s="51">
        <f>+[1]RRHH!L98</f>
        <v>0</v>
      </c>
      <c r="O210" s="77"/>
      <c r="P210" s="50">
        <f>+[1]RRHH!M98</f>
        <v>28219.750000000004</v>
      </c>
      <c r="Q210" s="51">
        <f>+[1]RRHH!N98</f>
        <v>0</v>
      </c>
      <c r="R210" s="52">
        <f t="shared" si="38"/>
        <v>0</v>
      </c>
      <c r="S210" s="53">
        <f t="shared" si="38"/>
        <v>68856.19</v>
      </c>
      <c r="T210" s="54">
        <f t="shared" si="38"/>
        <v>0</v>
      </c>
      <c r="U210" s="55">
        <f t="shared" si="39"/>
        <v>68856.19</v>
      </c>
    </row>
    <row r="211" spans="1:21" s="3" customFormat="1" ht="14.45" hidden="1" x14ac:dyDescent="0.3">
      <c r="A211" s="79" t="s">
        <v>279</v>
      </c>
      <c r="B211" s="5" t="s">
        <v>358</v>
      </c>
      <c r="C211" s="98" t="s">
        <v>359</v>
      </c>
      <c r="D211" s="68" t="s">
        <v>94</v>
      </c>
      <c r="E211" s="5" t="s">
        <v>422</v>
      </c>
      <c r="F211" s="75">
        <v>3</v>
      </c>
      <c r="G211" s="75">
        <v>12</v>
      </c>
      <c r="H211" s="76">
        <v>13968</v>
      </c>
      <c r="I211" s="77"/>
      <c r="J211" s="7">
        <f>+[1]RRHH!I99</f>
        <v>43580.160000000003</v>
      </c>
      <c r="K211" s="78">
        <f>+[1]RRHH!J99</f>
        <v>0</v>
      </c>
      <c r="L211" s="77"/>
      <c r="M211" s="50">
        <f>+[1]RRHH!K99</f>
        <v>54475.200000000004</v>
      </c>
      <c r="N211" s="51">
        <f>+[1]RRHH!L99</f>
        <v>0</v>
      </c>
      <c r="O211" s="77"/>
      <c r="P211" s="50">
        <f>+[1]RRHH!M99</f>
        <v>68094</v>
      </c>
      <c r="Q211" s="51">
        <f>+[1]RRHH!N99</f>
        <v>0</v>
      </c>
      <c r="R211" s="52">
        <f t="shared" si="38"/>
        <v>0</v>
      </c>
      <c r="S211" s="53">
        <f t="shared" si="38"/>
        <v>166149.36000000002</v>
      </c>
      <c r="T211" s="54">
        <f t="shared" si="38"/>
        <v>0</v>
      </c>
      <c r="U211" s="55">
        <f t="shared" si="39"/>
        <v>166149.36000000002</v>
      </c>
    </row>
    <row r="212" spans="1:21" s="3" customFormat="1" ht="28.9" hidden="1" x14ac:dyDescent="0.3">
      <c r="A212" s="79" t="s">
        <v>279</v>
      </c>
      <c r="B212" s="5" t="s">
        <v>360</v>
      </c>
      <c r="C212" s="98" t="s">
        <v>315</v>
      </c>
      <c r="D212" s="68" t="s">
        <v>94</v>
      </c>
      <c r="E212" s="5" t="s">
        <v>422</v>
      </c>
      <c r="F212" s="75">
        <v>1</v>
      </c>
      <c r="G212" s="75">
        <v>12</v>
      </c>
      <c r="H212" s="76">
        <v>26238</v>
      </c>
      <c r="I212" s="77"/>
      <c r="J212" s="7">
        <f>+[1]RRHH!I100</f>
        <v>27287.52</v>
      </c>
      <c r="K212" s="78">
        <f>+[1]RRHH!J100</f>
        <v>0</v>
      </c>
      <c r="L212" s="77"/>
      <c r="M212" s="50">
        <f>+[1]RRHH!K100</f>
        <v>34109.4</v>
      </c>
      <c r="N212" s="51">
        <f>+[1]RRHH!L100</f>
        <v>0</v>
      </c>
      <c r="O212" s="77"/>
      <c r="P212" s="50">
        <f>+[1]RRHH!M100</f>
        <v>42636.75</v>
      </c>
      <c r="Q212" s="51">
        <f>+[1]RRHH!N100</f>
        <v>0</v>
      </c>
      <c r="R212" s="52">
        <f t="shared" si="38"/>
        <v>0</v>
      </c>
      <c r="S212" s="53">
        <f t="shared" si="38"/>
        <v>104033.67</v>
      </c>
      <c r="T212" s="54">
        <f t="shared" si="38"/>
        <v>0</v>
      </c>
      <c r="U212" s="55">
        <f t="shared" si="39"/>
        <v>104033.67</v>
      </c>
    </row>
    <row r="213" spans="1:21" s="3" customFormat="1" ht="14.45" hidden="1" x14ac:dyDescent="0.3">
      <c r="A213" s="79" t="s">
        <v>279</v>
      </c>
      <c r="B213" s="5" t="s">
        <v>361</v>
      </c>
      <c r="C213" s="98" t="s">
        <v>362</v>
      </c>
      <c r="D213" s="68" t="s">
        <v>94</v>
      </c>
      <c r="E213" s="5" t="s">
        <v>422</v>
      </c>
      <c r="F213" s="75">
        <v>1</v>
      </c>
      <c r="G213" s="75">
        <v>12</v>
      </c>
      <c r="H213" s="76">
        <v>23406</v>
      </c>
      <c r="I213" s="77"/>
      <c r="J213" s="7">
        <f>+[1]RRHH!I101</f>
        <v>24342.240000000002</v>
      </c>
      <c r="K213" s="78">
        <f>+[1]RRHH!J101</f>
        <v>0</v>
      </c>
      <c r="L213" s="77"/>
      <c r="M213" s="50">
        <f>+[1]RRHH!K101</f>
        <v>30427.800000000003</v>
      </c>
      <c r="N213" s="51">
        <f>+[1]RRHH!L101</f>
        <v>0</v>
      </c>
      <c r="O213" s="77"/>
      <c r="P213" s="50">
        <f>+[1]RRHH!M101</f>
        <v>38034.75</v>
      </c>
      <c r="Q213" s="51">
        <f>+[1]RRHH!N101</f>
        <v>0</v>
      </c>
      <c r="R213" s="52">
        <f t="shared" si="38"/>
        <v>0</v>
      </c>
      <c r="S213" s="53">
        <f t="shared" si="38"/>
        <v>92804.790000000008</v>
      </c>
      <c r="T213" s="54">
        <f t="shared" si="38"/>
        <v>0</v>
      </c>
      <c r="U213" s="55">
        <f t="shared" si="39"/>
        <v>92804.790000000008</v>
      </c>
    </row>
    <row r="214" spans="1:21" s="3" customFormat="1" ht="14.45" hidden="1" x14ac:dyDescent="0.3">
      <c r="A214" s="79" t="s">
        <v>279</v>
      </c>
      <c r="B214" s="5" t="s">
        <v>363</v>
      </c>
      <c r="C214" s="98" t="s">
        <v>357</v>
      </c>
      <c r="D214" s="68" t="s">
        <v>94</v>
      </c>
      <c r="E214" s="5" t="s">
        <v>422</v>
      </c>
      <c r="F214" s="75">
        <v>3</v>
      </c>
      <c r="G214" s="75">
        <v>12</v>
      </c>
      <c r="H214" s="76">
        <v>16234</v>
      </c>
      <c r="I214" s="77"/>
      <c r="J214" s="7">
        <f>+[1]RRHH!I102</f>
        <v>50650.080000000002</v>
      </c>
      <c r="K214" s="78">
        <f>+[1]RRHH!J102</f>
        <v>0</v>
      </c>
      <c r="L214" s="77"/>
      <c r="M214" s="50">
        <f>+[1]RRHH!K102</f>
        <v>63312.600000000006</v>
      </c>
      <c r="N214" s="51">
        <f>+[1]RRHH!L102</f>
        <v>0</v>
      </c>
      <c r="O214" s="77"/>
      <c r="P214" s="50">
        <f>+[1]RRHH!M102</f>
        <v>79140.75</v>
      </c>
      <c r="Q214" s="51">
        <f>+[1]RRHH!N102</f>
        <v>0</v>
      </c>
      <c r="R214" s="52">
        <f t="shared" si="38"/>
        <v>0</v>
      </c>
      <c r="S214" s="53">
        <f t="shared" si="38"/>
        <v>193103.43</v>
      </c>
      <c r="T214" s="54">
        <f t="shared" si="38"/>
        <v>0</v>
      </c>
      <c r="U214" s="55">
        <f t="shared" si="39"/>
        <v>193103.43</v>
      </c>
    </row>
    <row r="215" spans="1:21" s="3" customFormat="1" ht="14.45" hidden="1" x14ac:dyDescent="0.3">
      <c r="A215" s="79" t="s">
        <v>279</v>
      </c>
      <c r="B215" s="5" t="s">
        <v>364</v>
      </c>
      <c r="C215" s="98" t="s">
        <v>365</v>
      </c>
      <c r="D215" s="68" t="s">
        <v>116</v>
      </c>
      <c r="E215" s="5" t="s">
        <v>422</v>
      </c>
      <c r="F215" s="75">
        <v>95</v>
      </c>
      <c r="G215" s="75">
        <v>12</v>
      </c>
      <c r="H215" s="76">
        <v>3260</v>
      </c>
      <c r="I215" s="77"/>
      <c r="J215" s="7">
        <f>+[1]RRHH!I105</f>
        <v>212800</v>
      </c>
      <c r="K215" s="78"/>
      <c r="L215" s="77"/>
      <c r="M215" s="50">
        <f>+[1]RRHH!K105</f>
        <v>235600</v>
      </c>
      <c r="N215" s="51"/>
      <c r="O215" s="77"/>
      <c r="P215" s="50">
        <f>+[1]RRHH!M105</f>
        <v>247760</v>
      </c>
      <c r="Q215" s="51"/>
      <c r="R215" s="52">
        <f t="shared" si="38"/>
        <v>0</v>
      </c>
      <c r="S215" s="53">
        <f t="shared" si="38"/>
        <v>696160</v>
      </c>
      <c r="T215" s="54">
        <f t="shared" si="38"/>
        <v>0</v>
      </c>
      <c r="U215" s="55">
        <f t="shared" si="39"/>
        <v>696160</v>
      </c>
    </row>
    <row r="216" spans="1:21" s="3" customFormat="1" ht="28.9" hidden="1" x14ac:dyDescent="0.3">
      <c r="A216" s="79" t="s">
        <v>279</v>
      </c>
      <c r="B216" s="5" t="s">
        <v>129</v>
      </c>
      <c r="C216" s="98" t="s">
        <v>366</v>
      </c>
      <c r="D216" s="68" t="s">
        <v>300</v>
      </c>
      <c r="E216" s="5" t="s">
        <v>425</v>
      </c>
      <c r="F216" s="75"/>
      <c r="G216" s="75"/>
      <c r="H216" s="76"/>
      <c r="I216" s="77">
        <f>20886.705396*0.6</f>
        <v>12532.0232376</v>
      </c>
      <c r="J216" s="7">
        <f>20887*0.4</f>
        <v>8354.8000000000011</v>
      </c>
      <c r="K216" s="78">
        <v>0</v>
      </c>
      <c r="L216" s="77">
        <f>25064.0464752*0.6</f>
        <v>15038.42788512</v>
      </c>
      <c r="M216" s="50">
        <f>25064.05*0.4</f>
        <v>10025.620000000001</v>
      </c>
      <c r="N216" s="51">
        <v>0</v>
      </c>
      <c r="O216" s="77">
        <f>32583.26041776*0.6</f>
        <v>19549.956250656</v>
      </c>
      <c r="P216" s="50">
        <f>32583*0.4</f>
        <v>13033.2</v>
      </c>
      <c r="Q216" s="51">
        <v>0</v>
      </c>
      <c r="R216" s="52">
        <f t="shared" si="38"/>
        <v>47120.407373375994</v>
      </c>
      <c r="S216" s="53">
        <f t="shared" si="38"/>
        <v>31413.620000000003</v>
      </c>
      <c r="T216" s="54">
        <f t="shared" si="38"/>
        <v>0</v>
      </c>
      <c r="U216" s="55">
        <f t="shared" si="39"/>
        <v>78534.027373375997</v>
      </c>
    </row>
    <row r="217" spans="1:21" ht="14.45" hidden="1" x14ac:dyDescent="0.3">
      <c r="A217" s="37" t="s">
        <v>279</v>
      </c>
      <c r="B217" s="38" t="s">
        <v>367</v>
      </c>
      <c r="C217" s="39"/>
      <c r="D217" s="40"/>
      <c r="E217" s="40"/>
      <c r="F217" s="41"/>
      <c r="G217" s="41"/>
      <c r="H217" s="42"/>
      <c r="I217" s="43"/>
      <c r="J217" s="42"/>
      <c r="K217" s="44"/>
      <c r="L217" s="43"/>
      <c r="M217" s="42"/>
      <c r="N217" s="44"/>
      <c r="O217" s="43"/>
      <c r="P217" s="42"/>
      <c r="Q217" s="44"/>
      <c r="R217" s="43"/>
      <c r="S217" s="42"/>
      <c r="T217" s="42"/>
      <c r="U217" s="45"/>
    </row>
    <row r="218" spans="1:21" s="3" customFormat="1" ht="14.45" hidden="1" x14ac:dyDescent="0.3">
      <c r="A218" s="79" t="s">
        <v>279</v>
      </c>
      <c r="B218" s="5" t="s">
        <v>368</v>
      </c>
      <c r="C218" s="98" t="s">
        <v>369</v>
      </c>
      <c r="D218" s="68" t="s">
        <v>122</v>
      </c>
      <c r="E218" s="5" t="s">
        <v>423</v>
      </c>
      <c r="F218" s="75"/>
      <c r="G218" s="75"/>
      <c r="H218" s="76"/>
      <c r="I218" s="77">
        <v>146664.79999999999</v>
      </c>
      <c r="J218" s="7"/>
      <c r="K218" s="78"/>
      <c r="L218" s="77">
        <v>175997.75999999998</v>
      </c>
      <c r="M218" s="50"/>
      <c r="N218" s="51"/>
      <c r="O218" s="77">
        <v>211197.31200000001</v>
      </c>
      <c r="P218" s="50"/>
      <c r="Q218" s="51"/>
      <c r="R218" s="52">
        <f t="shared" ref="R218:T218" si="40">+O218+L218+I218</f>
        <v>533859.87199999997</v>
      </c>
      <c r="S218" s="53">
        <f t="shared" si="40"/>
        <v>0</v>
      </c>
      <c r="T218" s="54">
        <f t="shared" si="40"/>
        <v>0</v>
      </c>
      <c r="U218" s="55">
        <f t="shared" si="39"/>
        <v>533859.87199999997</v>
      </c>
    </row>
    <row r="219" spans="1:21" ht="14.45" hidden="1" x14ac:dyDescent="0.3">
      <c r="A219" s="37" t="s">
        <v>279</v>
      </c>
      <c r="B219" s="38" t="s">
        <v>370</v>
      </c>
      <c r="C219" s="39"/>
      <c r="D219" s="40"/>
      <c r="E219" s="40"/>
      <c r="F219" s="41"/>
      <c r="G219" s="41"/>
      <c r="H219" s="42"/>
      <c r="I219" s="43"/>
      <c r="J219" s="42"/>
      <c r="K219" s="44"/>
      <c r="L219" s="43"/>
      <c r="M219" s="42"/>
      <c r="N219" s="44"/>
      <c r="O219" s="43"/>
      <c r="P219" s="42"/>
      <c r="Q219" s="44"/>
      <c r="R219" s="43"/>
      <c r="S219" s="42"/>
      <c r="T219" s="42"/>
      <c r="U219" s="45"/>
    </row>
    <row r="220" spans="1:21" s="3" customFormat="1" ht="28.9" hidden="1" x14ac:dyDescent="0.3">
      <c r="A220" s="79" t="s">
        <v>279</v>
      </c>
      <c r="B220" s="5" t="s">
        <v>129</v>
      </c>
      <c r="C220" s="98" t="s">
        <v>371</v>
      </c>
      <c r="D220" s="68" t="s">
        <v>131</v>
      </c>
      <c r="E220" s="5" t="s">
        <v>131</v>
      </c>
      <c r="F220" s="75"/>
      <c r="G220" s="75"/>
      <c r="H220" s="76"/>
      <c r="I220" s="77">
        <v>573448.30514013604</v>
      </c>
      <c r="J220" s="7">
        <v>0</v>
      </c>
      <c r="K220" s="78">
        <v>0</v>
      </c>
      <c r="L220" s="77">
        <v>688137.96616816323</v>
      </c>
      <c r="M220" s="50"/>
      <c r="N220" s="51"/>
      <c r="O220" s="77">
        <v>773168.00764331198</v>
      </c>
      <c r="P220" s="50"/>
      <c r="Q220" s="51"/>
      <c r="R220" s="52">
        <f t="shared" ref="R220:T223" si="41">+O220+L220+I220</f>
        <v>2034754.2789516111</v>
      </c>
      <c r="S220" s="53">
        <f t="shared" si="41"/>
        <v>0</v>
      </c>
      <c r="T220" s="54">
        <f t="shared" si="41"/>
        <v>0</v>
      </c>
      <c r="U220" s="55">
        <f t="shared" si="39"/>
        <v>2034754.2789516111</v>
      </c>
    </row>
    <row r="221" spans="1:21" s="3" customFormat="1" ht="28.9" hidden="1" x14ac:dyDescent="0.3">
      <c r="A221" s="79" t="s">
        <v>279</v>
      </c>
      <c r="B221" s="5" t="s">
        <v>132</v>
      </c>
      <c r="C221" s="98" t="s">
        <v>372</v>
      </c>
      <c r="D221" s="68" t="s">
        <v>131</v>
      </c>
      <c r="E221" s="5" t="s">
        <v>131</v>
      </c>
      <c r="F221" s="75"/>
      <c r="G221" s="75"/>
      <c r="H221" s="76"/>
      <c r="I221" s="77">
        <v>8000</v>
      </c>
      <c r="J221" s="7">
        <v>0</v>
      </c>
      <c r="K221" s="78">
        <v>0</v>
      </c>
      <c r="L221" s="77">
        <v>8000</v>
      </c>
      <c r="M221" s="50"/>
      <c r="N221" s="51"/>
      <c r="O221" s="77">
        <v>8000</v>
      </c>
      <c r="P221" s="50"/>
      <c r="Q221" s="51"/>
      <c r="R221" s="52">
        <f t="shared" si="41"/>
        <v>24000</v>
      </c>
      <c r="S221" s="53">
        <f t="shared" si="41"/>
        <v>0</v>
      </c>
      <c r="T221" s="54">
        <f t="shared" si="41"/>
        <v>0</v>
      </c>
      <c r="U221" s="55">
        <f t="shared" si="39"/>
        <v>24000</v>
      </c>
    </row>
    <row r="222" spans="1:21" s="3" customFormat="1" ht="14.45" hidden="1" x14ac:dyDescent="0.3">
      <c r="A222" s="79" t="s">
        <v>279</v>
      </c>
      <c r="B222" s="5" t="s">
        <v>133</v>
      </c>
      <c r="C222" s="98" t="s">
        <v>373</v>
      </c>
      <c r="D222" s="68" t="s">
        <v>131</v>
      </c>
      <c r="E222" s="5" t="s">
        <v>131</v>
      </c>
      <c r="F222" s="75"/>
      <c r="G222" s="75"/>
      <c r="H222" s="76"/>
      <c r="I222" s="77">
        <v>550960.13631111116</v>
      </c>
      <c r="J222" s="7">
        <v>0</v>
      </c>
      <c r="K222" s="78">
        <v>0</v>
      </c>
      <c r="L222" s="77">
        <v>661152.1635733333</v>
      </c>
      <c r="M222" s="50"/>
      <c r="N222" s="51"/>
      <c r="O222" s="77">
        <v>848862.77762237762</v>
      </c>
      <c r="P222" s="50"/>
      <c r="Q222" s="51"/>
      <c r="R222" s="52">
        <f t="shared" si="41"/>
        <v>2060975.0775068221</v>
      </c>
      <c r="S222" s="53">
        <f t="shared" si="41"/>
        <v>0</v>
      </c>
      <c r="T222" s="54">
        <f t="shared" si="41"/>
        <v>0</v>
      </c>
      <c r="U222" s="55">
        <f t="shared" si="39"/>
        <v>2060975.0775068221</v>
      </c>
    </row>
    <row r="223" spans="1:21" s="3" customFormat="1" ht="14.45" hidden="1" x14ac:dyDescent="0.3">
      <c r="A223" s="79" t="s">
        <v>279</v>
      </c>
      <c r="B223" s="5" t="s">
        <v>135</v>
      </c>
      <c r="C223" s="98" t="s">
        <v>136</v>
      </c>
      <c r="D223" s="68" t="s">
        <v>127</v>
      </c>
      <c r="E223" s="5" t="s">
        <v>424</v>
      </c>
      <c r="F223" s="75"/>
      <c r="G223" s="75"/>
      <c r="H223" s="76"/>
      <c r="I223" s="77">
        <v>20000</v>
      </c>
      <c r="J223" s="7"/>
      <c r="K223" s="78"/>
      <c r="L223" s="77">
        <v>20000</v>
      </c>
      <c r="M223" s="50"/>
      <c r="N223" s="51"/>
      <c r="O223" s="77">
        <v>20000</v>
      </c>
      <c r="P223" s="50"/>
      <c r="Q223" s="51"/>
      <c r="R223" s="52">
        <f t="shared" si="41"/>
        <v>60000</v>
      </c>
      <c r="S223" s="53">
        <f t="shared" si="41"/>
        <v>0</v>
      </c>
      <c r="T223" s="54">
        <f t="shared" si="41"/>
        <v>0</v>
      </c>
      <c r="U223" s="55">
        <f t="shared" si="39"/>
        <v>60000</v>
      </c>
    </row>
    <row r="224" spans="1:21" ht="14.45" hidden="1" x14ac:dyDescent="0.3">
      <c r="A224" s="37" t="s">
        <v>279</v>
      </c>
      <c r="B224" s="38" t="s">
        <v>374</v>
      </c>
      <c r="C224" s="39"/>
      <c r="D224" s="40"/>
      <c r="E224" s="40"/>
      <c r="F224" s="41"/>
      <c r="G224" s="41"/>
      <c r="H224" s="42"/>
      <c r="I224" s="43"/>
      <c r="J224" s="42"/>
      <c r="K224" s="44"/>
      <c r="L224" s="43"/>
      <c r="M224" s="42"/>
      <c r="N224" s="44"/>
      <c r="O224" s="43"/>
      <c r="P224" s="42"/>
      <c r="Q224" s="44"/>
      <c r="R224" s="43"/>
      <c r="S224" s="42"/>
      <c r="T224" s="42"/>
      <c r="U224" s="45"/>
    </row>
    <row r="225" spans="1:21" s="3" customFormat="1" ht="14.45" hidden="1" x14ac:dyDescent="0.3">
      <c r="A225" s="79" t="s">
        <v>279</v>
      </c>
      <c r="B225" s="5" t="s">
        <v>197</v>
      </c>
      <c r="C225" s="98" t="s">
        <v>375</v>
      </c>
      <c r="D225" s="68" t="s">
        <v>127</v>
      </c>
      <c r="E225" s="5" t="s">
        <v>424</v>
      </c>
      <c r="F225" s="75"/>
      <c r="G225" s="75"/>
      <c r="H225" s="76"/>
      <c r="I225" s="77">
        <v>164670.264456</v>
      </c>
      <c r="J225" s="7">
        <v>38000</v>
      </c>
      <c r="K225" s="78">
        <v>0</v>
      </c>
      <c r="L225" s="77">
        <v>197604.31734720001</v>
      </c>
      <c r="M225" s="50">
        <v>45600</v>
      </c>
      <c r="N225" s="51">
        <v>0</v>
      </c>
      <c r="O225" s="77">
        <v>256885.61266666665</v>
      </c>
      <c r="P225" s="50">
        <v>54666.666666666664</v>
      </c>
      <c r="Q225" s="51">
        <v>0</v>
      </c>
      <c r="R225" s="52">
        <f t="shared" ref="R225:T225" si="42">+O225+L225+I225</f>
        <v>619160.19446986658</v>
      </c>
      <c r="S225" s="53">
        <f t="shared" si="42"/>
        <v>138266.66666666666</v>
      </c>
      <c r="T225" s="54">
        <f t="shared" si="42"/>
        <v>0</v>
      </c>
      <c r="U225" s="55">
        <f t="shared" si="39"/>
        <v>757426.8611365332</v>
      </c>
    </row>
    <row r="226" spans="1:21" ht="14.45" hidden="1" x14ac:dyDescent="0.3">
      <c r="A226" s="37" t="s">
        <v>279</v>
      </c>
      <c r="B226" s="38" t="s">
        <v>376</v>
      </c>
      <c r="C226" s="39"/>
      <c r="D226" s="40"/>
      <c r="E226" s="40"/>
      <c r="F226" s="41"/>
      <c r="G226" s="41"/>
      <c r="H226" s="42"/>
      <c r="I226" s="43"/>
      <c r="J226" s="42"/>
      <c r="K226" s="44"/>
      <c r="L226" s="43"/>
      <c r="M226" s="42"/>
      <c r="N226" s="44"/>
      <c r="O226" s="43"/>
      <c r="P226" s="42"/>
      <c r="Q226" s="44"/>
      <c r="R226" s="43"/>
      <c r="S226" s="42"/>
      <c r="T226" s="42"/>
      <c r="U226" s="45"/>
    </row>
    <row r="227" spans="1:21" s="3" customFormat="1" ht="14.45" hidden="1" x14ac:dyDescent="0.3">
      <c r="A227" s="79" t="s">
        <v>279</v>
      </c>
      <c r="B227" s="5" t="s">
        <v>7</v>
      </c>
      <c r="C227" s="98" t="s">
        <v>377</v>
      </c>
      <c r="D227" s="68" t="s">
        <v>378</v>
      </c>
      <c r="E227" s="5" t="s">
        <v>124</v>
      </c>
      <c r="F227" s="75"/>
      <c r="G227" s="75"/>
      <c r="H227" s="76"/>
      <c r="I227" s="77">
        <v>719410.20888888882</v>
      </c>
      <c r="J227" s="7"/>
      <c r="K227" s="78"/>
      <c r="L227" s="77">
        <v>719410.20888888882</v>
      </c>
      <c r="M227" s="50"/>
      <c r="N227" s="51"/>
      <c r="O227" s="77">
        <v>719410.20888888882</v>
      </c>
      <c r="P227" s="50"/>
      <c r="Q227" s="51"/>
      <c r="R227" s="52">
        <f t="shared" ref="R227:T228" si="43">+O227+L227+I227</f>
        <v>2158230.6266666665</v>
      </c>
      <c r="S227" s="53">
        <f t="shared" si="43"/>
        <v>0</v>
      </c>
      <c r="T227" s="54">
        <f t="shared" si="43"/>
        <v>0</v>
      </c>
      <c r="U227" s="55">
        <f t="shared" si="39"/>
        <v>2158230.6266666665</v>
      </c>
    </row>
    <row r="228" spans="1:21" s="113" customFormat="1" ht="14.45" hidden="1" x14ac:dyDescent="0.3">
      <c r="A228" s="114" t="s">
        <v>379</v>
      </c>
      <c r="B228" s="115"/>
      <c r="C228" s="115"/>
      <c r="D228" s="116"/>
      <c r="E228" s="116"/>
      <c r="F228" s="117"/>
      <c r="G228" s="117"/>
      <c r="H228" s="118"/>
      <c r="I228" s="119">
        <f>SUM(I157:I227)</f>
        <v>25364035.971555777</v>
      </c>
      <c r="J228" s="119">
        <f t="shared" ref="J228:Q228" si="44">SUM(J157:J227)</f>
        <v>2606741.3600000003</v>
      </c>
      <c r="K228" s="119">
        <f t="shared" si="44"/>
        <v>395181.28</v>
      </c>
      <c r="L228" s="119">
        <f t="shared" si="44"/>
        <v>16836743.546619132</v>
      </c>
      <c r="M228" s="119">
        <f t="shared" si="44"/>
        <v>3224750.5199999996</v>
      </c>
      <c r="N228" s="119">
        <f t="shared" si="44"/>
        <v>493976.59999999992</v>
      </c>
      <c r="O228" s="119">
        <f t="shared" si="44"/>
        <v>12269275.676909517</v>
      </c>
      <c r="P228" s="119">
        <f t="shared" si="44"/>
        <v>3981407.6916666669</v>
      </c>
      <c r="Q228" s="119">
        <f t="shared" si="44"/>
        <v>617470.75</v>
      </c>
      <c r="R228" s="119">
        <f>+O228+L228+I228</f>
        <v>54470055.195084423</v>
      </c>
      <c r="S228" s="120">
        <f>+P228+M228+J228</f>
        <v>9812899.5716666654</v>
      </c>
      <c r="T228" s="122">
        <f t="shared" si="43"/>
        <v>1506628.63</v>
      </c>
      <c r="U228" s="124">
        <f t="shared" si="39"/>
        <v>65789583.396751091</v>
      </c>
    </row>
    <row r="229" spans="1:21" s="113" customFormat="1" ht="14.45" hidden="1" x14ac:dyDescent="0.3">
      <c r="A229" s="125"/>
      <c r="B229" s="126" t="s">
        <v>380</v>
      </c>
      <c r="C229" s="126"/>
      <c r="D229" s="126"/>
      <c r="E229" s="126"/>
      <c r="F229" s="127"/>
      <c r="G229" s="128"/>
      <c r="H229" s="129"/>
      <c r="I229" s="130"/>
      <c r="J229" s="131"/>
      <c r="K229" s="132"/>
      <c r="L229" s="133"/>
      <c r="M229" s="131"/>
      <c r="N229" s="132"/>
      <c r="O229" s="133"/>
      <c r="P229" s="131"/>
      <c r="Q229" s="132"/>
      <c r="R229" s="133"/>
      <c r="S229" s="131"/>
      <c r="T229" s="134"/>
      <c r="U229" s="135"/>
    </row>
    <row r="230" spans="1:21" ht="14.45" hidden="1" x14ac:dyDescent="0.3">
      <c r="A230" s="37"/>
      <c r="B230" s="38" t="s">
        <v>381</v>
      </c>
      <c r="C230" s="39"/>
      <c r="D230" s="40"/>
      <c r="E230" s="40"/>
      <c r="F230" s="41"/>
      <c r="G230" s="41"/>
      <c r="H230" s="42"/>
      <c r="I230" s="43"/>
      <c r="J230" s="42"/>
      <c r="K230" s="44"/>
      <c r="L230" s="43"/>
      <c r="M230" s="42"/>
      <c r="N230" s="44"/>
      <c r="O230" s="43"/>
      <c r="P230" s="42"/>
      <c r="Q230" s="44"/>
      <c r="R230" s="43"/>
      <c r="S230" s="42"/>
      <c r="T230" s="42"/>
      <c r="U230" s="45"/>
    </row>
    <row r="231" spans="1:21" s="3" customFormat="1" x14ac:dyDescent="0.25">
      <c r="A231" s="79" t="s">
        <v>380</v>
      </c>
      <c r="B231" s="5" t="s">
        <v>382</v>
      </c>
      <c r="C231" s="98" t="s">
        <v>94</v>
      </c>
      <c r="D231" s="68" t="s">
        <v>94</v>
      </c>
      <c r="E231" s="5" t="s">
        <v>422</v>
      </c>
      <c r="F231" s="75">
        <v>5</v>
      </c>
      <c r="G231" s="75"/>
      <c r="H231" s="76"/>
      <c r="I231" s="77"/>
      <c r="J231" s="7">
        <v>12563.2</v>
      </c>
      <c r="K231" s="78">
        <v>51345.08</v>
      </c>
      <c r="L231" s="77"/>
      <c r="M231" s="50">
        <v>15704</v>
      </c>
      <c r="N231" s="51">
        <v>64181.35</v>
      </c>
      <c r="O231" s="77"/>
      <c r="P231" s="50">
        <v>19630</v>
      </c>
      <c r="Q231" s="51">
        <v>80226.6875</v>
      </c>
      <c r="R231" s="52">
        <f t="shared" ref="R231:T243" si="45">+O231+L231+I231</f>
        <v>0</v>
      </c>
      <c r="S231" s="53">
        <f t="shared" si="45"/>
        <v>47897.2</v>
      </c>
      <c r="T231" s="54">
        <f t="shared" si="45"/>
        <v>195753.11749999999</v>
      </c>
      <c r="U231" s="55">
        <f t="shared" si="39"/>
        <v>243650.3175</v>
      </c>
    </row>
    <row r="232" spans="1:21" s="3" customFormat="1" x14ac:dyDescent="0.25">
      <c r="A232" s="79" t="s">
        <v>380</v>
      </c>
      <c r="B232" s="5" t="s">
        <v>383</v>
      </c>
      <c r="C232" s="98" t="s">
        <v>94</v>
      </c>
      <c r="D232" s="68" t="s">
        <v>94</v>
      </c>
      <c r="E232" s="5" t="s">
        <v>422</v>
      </c>
      <c r="F232" s="75">
        <v>29</v>
      </c>
      <c r="G232" s="75"/>
      <c r="H232" s="76"/>
      <c r="I232" s="77"/>
      <c r="J232" s="7">
        <v>270845.12</v>
      </c>
      <c r="K232" s="78">
        <v>109472.73599999999</v>
      </c>
      <c r="L232" s="77"/>
      <c r="M232" s="50">
        <v>338556.39999999997</v>
      </c>
      <c r="N232" s="51">
        <v>136840.91999999998</v>
      </c>
      <c r="O232" s="77"/>
      <c r="P232" s="50">
        <v>423195.5</v>
      </c>
      <c r="Q232" s="51">
        <v>171051.15</v>
      </c>
      <c r="R232" s="52">
        <f t="shared" si="45"/>
        <v>0</v>
      </c>
      <c r="S232" s="53">
        <f t="shared" si="45"/>
        <v>1032597.0199999999</v>
      </c>
      <c r="T232" s="54">
        <f t="shared" si="45"/>
        <v>417364.80599999992</v>
      </c>
      <c r="U232" s="55">
        <f t="shared" si="39"/>
        <v>1449961.8259999999</v>
      </c>
    </row>
    <row r="233" spans="1:21" s="3" customFormat="1" ht="14.45" x14ac:dyDescent="0.3">
      <c r="A233" s="79" t="s">
        <v>380</v>
      </c>
      <c r="B233" s="5" t="s">
        <v>384</v>
      </c>
      <c r="C233" s="98" t="s">
        <v>94</v>
      </c>
      <c r="D233" s="68" t="s">
        <v>94</v>
      </c>
      <c r="E233" s="5" t="s">
        <v>422</v>
      </c>
      <c r="F233" s="75">
        <v>12</v>
      </c>
      <c r="G233" s="75"/>
      <c r="H233" s="76"/>
      <c r="I233" s="77"/>
      <c r="J233" s="7">
        <v>15705.04</v>
      </c>
      <c r="K233" s="78">
        <v>148722.53599999999</v>
      </c>
      <c r="L233" s="77"/>
      <c r="M233" s="50">
        <v>19631.300000000003</v>
      </c>
      <c r="N233" s="51">
        <v>185903.17</v>
      </c>
      <c r="O233" s="77"/>
      <c r="P233" s="50">
        <v>24539.125000000004</v>
      </c>
      <c r="Q233" s="51">
        <v>232378.96249999999</v>
      </c>
      <c r="R233" s="52">
        <f t="shared" si="45"/>
        <v>0</v>
      </c>
      <c r="S233" s="53">
        <f t="shared" si="45"/>
        <v>59875.465000000004</v>
      </c>
      <c r="T233" s="54">
        <f t="shared" si="45"/>
        <v>567004.66850000003</v>
      </c>
      <c r="U233" s="55">
        <f t="shared" si="39"/>
        <v>626880.1335</v>
      </c>
    </row>
    <row r="234" spans="1:21" s="3" customFormat="1" x14ac:dyDescent="0.25">
      <c r="A234" s="79" t="s">
        <v>380</v>
      </c>
      <c r="B234" s="5" t="s">
        <v>385</v>
      </c>
      <c r="C234" s="98" t="s">
        <v>94</v>
      </c>
      <c r="D234" s="68" t="s">
        <v>94</v>
      </c>
      <c r="E234" s="5" t="s">
        <v>422</v>
      </c>
      <c r="F234" s="75">
        <v>5</v>
      </c>
      <c r="G234" s="75"/>
      <c r="H234" s="76"/>
      <c r="I234" s="77"/>
      <c r="J234" s="7">
        <v>31606.640000000003</v>
      </c>
      <c r="K234" s="78">
        <v>19939.231999999996</v>
      </c>
      <c r="L234" s="77"/>
      <c r="M234" s="50">
        <v>39508.300000000003</v>
      </c>
      <c r="N234" s="51">
        <v>24924.039999999997</v>
      </c>
      <c r="O234" s="77"/>
      <c r="P234" s="50">
        <v>49385.375</v>
      </c>
      <c r="Q234" s="51">
        <v>31155.049999999996</v>
      </c>
      <c r="R234" s="52">
        <f t="shared" si="45"/>
        <v>0</v>
      </c>
      <c r="S234" s="53">
        <f t="shared" si="45"/>
        <v>120500.315</v>
      </c>
      <c r="T234" s="54">
        <f t="shared" si="45"/>
        <v>76018.321999999986</v>
      </c>
      <c r="U234" s="55">
        <f t="shared" si="39"/>
        <v>196518.63699999999</v>
      </c>
    </row>
    <row r="235" spans="1:21" s="3" customFormat="1" x14ac:dyDescent="0.25">
      <c r="A235" s="79" t="s">
        <v>380</v>
      </c>
      <c r="B235" s="5" t="s">
        <v>386</v>
      </c>
      <c r="C235" s="98" t="s">
        <v>94</v>
      </c>
      <c r="D235" s="68" t="s">
        <v>94</v>
      </c>
      <c r="E235" s="5" t="s">
        <v>422</v>
      </c>
      <c r="F235" s="75">
        <v>11</v>
      </c>
      <c r="G235" s="75"/>
      <c r="H235" s="76"/>
      <c r="I235" s="77"/>
      <c r="J235" s="7">
        <v>93049.84</v>
      </c>
      <c r="K235" s="78">
        <v>38065.983999999997</v>
      </c>
      <c r="L235" s="77"/>
      <c r="M235" s="50">
        <v>116312.3</v>
      </c>
      <c r="N235" s="51">
        <v>47582.479999999996</v>
      </c>
      <c r="O235" s="77"/>
      <c r="P235" s="50">
        <v>145390.375</v>
      </c>
      <c r="Q235" s="51">
        <v>59478.1</v>
      </c>
      <c r="R235" s="52">
        <f t="shared" si="45"/>
        <v>0</v>
      </c>
      <c r="S235" s="53">
        <f t="shared" si="45"/>
        <v>354752.51500000001</v>
      </c>
      <c r="T235" s="54">
        <f t="shared" si="45"/>
        <v>145126.56399999998</v>
      </c>
      <c r="U235" s="55">
        <f t="shared" si="39"/>
        <v>499879.07900000003</v>
      </c>
    </row>
    <row r="236" spans="1:21" s="3" customFormat="1" x14ac:dyDescent="0.25">
      <c r="A236" s="79" t="s">
        <v>380</v>
      </c>
      <c r="B236" s="5" t="s">
        <v>387</v>
      </c>
      <c r="C236" s="98" t="s">
        <v>94</v>
      </c>
      <c r="D236" s="68" t="s">
        <v>94</v>
      </c>
      <c r="E236" s="5" t="s">
        <v>422</v>
      </c>
      <c r="F236" s="75">
        <v>17</v>
      </c>
      <c r="G236" s="75"/>
      <c r="H236" s="76"/>
      <c r="I236" s="77"/>
      <c r="J236" s="7">
        <v>194152.40000000002</v>
      </c>
      <c r="K236" s="78">
        <v>61426.080000000002</v>
      </c>
      <c r="L236" s="77"/>
      <c r="M236" s="50">
        <v>242690.50000000003</v>
      </c>
      <c r="N236" s="51">
        <v>76782.600000000006</v>
      </c>
      <c r="O236" s="77"/>
      <c r="P236" s="50">
        <v>303363.125</v>
      </c>
      <c r="Q236" s="51">
        <v>95978.25</v>
      </c>
      <c r="R236" s="52">
        <f t="shared" si="45"/>
        <v>0</v>
      </c>
      <c r="S236" s="53">
        <f t="shared" si="45"/>
        <v>740206.02500000002</v>
      </c>
      <c r="T236" s="54">
        <f t="shared" si="45"/>
        <v>234186.93</v>
      </c>
      <c r="U236" s="55">
        <f t="shared" si="39"/>
        <v>974392.95500000007</v>
      </c>
    </row>
    <row r="237" spans="1:21" s="3" customFormat="1" x14ac:dyDescent="0.25">
      <c r="A237" s="79" t="s">
        <v>380</v>
      </c>
      <c r="B237" s="5" t="s">
        <v>388</v>
      </c>
      <c r="C237" s="98" t="s">
        <v>94</v>
      </c>
      <c r="D237" s="68" t="s">
        <v>94</v>
      </c>
      <c r="E237" s="5" t="s">
        <v>422</v>
      </c>
      <c r="F237" s="75">
        <v>20</v>
      </c>
      <c r="G237" s="75"/>
      <c r="H237" s="76"/>
      <c r="I237" s="77"/>
      <c r="J237" s="7">
        <v>233415.52000000005</v>
      </c>
      <c r="K237" s="78">
        <v>61067.24</v>
      </c>
      <c r="L237" s="77"/>
      <c r="M237" s="50">
        <v>291769.40000000002</v>
      </c>
      <c r="N237" s="51">
        <v>76334.05</v>
      </c>
      <c r="O237" s="77"/>
      <c r="P237" s="50">
        <v>364711.75</v>
      </c>
      <c r="Q237" s="51">
        <v>95417.5625</v>
      </c>
      <c r="R237" s="52">
        <f t="shared" si="45"/>
        <v>0</v>
      </c>
      <c r="S237" s="53">
        <f t="shared" si="45"/>
        <v>889896.67</v>
      </c>
      <c r="T237" s="54">
        <f t="shared" si="45"/>
        <v>232818.85249999998</v>
      </c>
      <c r="U237" s="55">
        <f t="shared" si="39"/>
        <v>1122715.5225</v>
      </c>
    </row>
    <row r="238" spans="1:21" s="3" customFormat="1" ht="30" x14ac:dyDescent="0.25">
      <c r="A238" s="79" t="s">
        <v>380</v>
      </c>
      <c r="B238" s="5" t="s">
        <v>389</v>
      </c>
      <c r="C238" s="98" t="s">
        <v>94</v>
      </c>
      <c r="D238" s="68" t="s">
        <v>94</v>
      </c>
      <c r="E238" s="5" t="s">
        <v>422</v>
      </c>
      <c r="F238" s="75">
        <v>9</v>
      </c>
      <c r="G238" s="75"/>
      <c r="H238" s="76"/>
      <c r="I238" s="77"/>
      <c r="J238" s="7">
        <v>73420.88</v>
      </c>
      <c r="K238" s="78">
        <v>80406.240000000005</v>
      </c>
      <c r="L238" s="77"/>
      <c r="M238" s="50">
        <v>91776.1</v>
      </c>
      <c r="N238" s="51">
        <v>100507.8</v>
      </c>
      <c r="O238" s="77"/>
      <c r="P238" s="50">
        <v>114720.125</v>
      </c>
      <c r="Q238" s="51">
        <v>125634.75</v>
      </c>
      <c r="R238" s="52">
        <f t="shared" si="45"/>
        <v>0</v>
      </c>
      <c r="S238" s="53">
        <f t="shared" si="45"/>
        <v>279917.10499999998</v>
      </c>
      <c r="T238" s="54">
        <f t="shared" si="45"/>
        <v>306548.78999999998</v>
      </c>
      <c r="U238" s="55">
        <f t="shared" si="39"/>
        <v>586465.89500000002</v>
      </c>
    </row>
    <row r="239" spans="1:21" s="3" customFormat="1" x14ac:dyDescent="0.25">
      <c r="A239" s="79" t="s">
        <v>380</v>
      </c>
      <c r="B239" s="5" t="s">
        <v>390</v>
      </c>
      <c r="C239" s="98" t="s">
        <v>94</v>
      </c>
      <c r="D239" s="68" t="s">
        <v>94</v>
      </c>
      <c r="E239" s="5" t="s">
        <v>422</v>
      </c>
      <c r="F239" s="75">
        <v>7</v>
      </c>
      <c r="G239" s="75"/>
      <c r="H239" s="76"/>
      <c r="I239" s="77"/>
      <c r="J239" s="7">
        <v>74599.200000000012</v>
      </c>
      <c r="K239" s="78">
        <v>40939.623999999996</v>
      </c>
      <c r="L239" s="77"/>
      <c r="M239" s="50">
        <v>93249</v>
      </c>
      <c r="N239" s="51">
        <v>51174.53</v>
      </c>
      <c r="O239" s="77"/>
      <c r="P239" s="50">
        <v>116561.25</v>
      </c>
      <c r="Q239" s="51">
        <v>63968.162500000006</v>
      </c>
      <c r="R239" s="52">
        <f t="shared" si="45"/>
        <v>0</v>
      </c>
      <c r="S239" s="53">
        <f t="shared" si="45"/>
        <v>284409.45</v>
      </c>
      <c r="T239" s="54">
        <f t="shared" si="45"/>
        <v>156082.31650000002</v>
      </c>
      <c r="U239" s="55">
        <f t="shared" si="39"/>
        <v>440491.76650000003</v>
      </c>
    </row>
    <row r="240" spans="1:21" s="3" customFormat="1" ht="14.45" x14ac:dyDescent="0.3">
      <c r="A240" s="79" t="s">
        <v>380</v>
      </c>
      <c r="B240" s="5" t="s">
        <v>391</v>
      </c>
      <c r="C240" s="98" t="s">
        <v>94</v>
      </c>
      <c r="D240" s="68" t="s">
        <v>94</v>
      </c>
      <c r="E240" s="5" t="s">
        <v>422</v>
      </c>
      <c r="F240" s="75">
        <v>24</v>
      </c>
      <c r="G240" s="75"/>
      <c r="H240" s="76"/>
      <c r="I240" s="77"/>
      <c r="J240" s="7">
        <f>+[1]RRHH!I227</f>
        <v>546524.16000000003</v>
      </c>
      <c r="K240" s="78"/>
      <c r="L240" s="77"/>
      <c r="M240" s="50">
        <f>+[1]RRHH!K227</f>
        <v>683155.20000000007</v>
      </c>
      <c r="N240" s="51"/>
      <c r="O240" s="77"/>
      <c r="P240" s="50">
        <f>+[1]RRHH!M227</f>
        <v>853944.00000000012</v>
      </c>
      <c r="Q240" s="51"/>
      <c r="R240" s="52">
        <f t="shared" si="45"/>
        <v>0</v>
      </c>
      <c r="S240" s="53">
        <f t="shared" si="45"/>
        <v>2083623.3600000003</v>
      </c>
      <c r="T240" s="54">
        <f t="shared" si="45"/>
        <v>0</v>
      </c>
      <c r="U240" s="55">
        <f t="shared" si="39"/>
        <v>2083623.3600000003</v>
      </c>
    </row>
    <row r="241" spans="1:21" s="3" customFormat="1" x14ac:dyDescent="0.25">
      <c r="A241" s="79" t="s">
        <v>380</v>
      </c>
      <c r="B241" s="5" t="s">
        <v>392</v>
      </c>
      <c r="C241" s="98" t="s">
        <v>94</v>
      </c>
      <c r="D241" s="68" t="s">
        <v>94</v>
      </c>
      <c r="E241" s="5" t="s">
        <v>422</v>
      </c>
      <c r="F241" s="75"/>
      <c r="G241" s="75"/>
      <c r="H241" s="76"/>
      <c r="I241" s="77"/>
      <c r="J241" s="7">
        <v>89361.702127659577</v>
      </c>
      <c r="K241" s="78"/>
      <c r="L241" s="77"/>
      <c r="M241" s="50">
        <v>112595.74468085107</v>
      </c>
      <c r="N241" s="51"/>
      <c r="O241" s="77"/>
      <c r="P241" s="50">
        <v>141870.63829787236</v>
      </c>
      <c r="Q241" s="51"/>
      <c r="R241" s="52">
        <f t="shared" si="45"/>
        <v>0</v>
      </c>
      <c r="S241" s="53">
        <f t="shared" si="45"/>
        <v>343828.08510638302</v>
      </c>
      <c r="T241" s="54">
        <f t="shared" si="45"/>
        <v>0</v>
      </c>
      <c r="U241" s="55">
        <f t="shared" si="39"/>
        <v>343828.08510638302</v>
      </c>
    </row>
    <row r="242" spans="1:21" s="3" customFormat="1" ht="14.45" x14ac:dyDescent="0.3">
      <c r="A242" s="79" t="s">
        <v>380</v>
      </c>
      <c r="B242" s="5" t="s">
        <v>255</v>
      </c>
      <c r="C242" s="98" t="s">
        <v>116</v>
      </c>
      <c r="D242" s="68" t="s">
        <v>116</v>
      </c>
      <c r="E242" s="5" t="s">
        <v>422</v>
      </c>
      <c r="F242" s="75"/>
      <c r="G242" s="75"/>
      <c r="H242" s="76"/>
      <c r="I242" s="77"/>
      <c r="J242" s="7">
        <f>+[1]RRHH!I229</f>
        <v>201600</v>
      </c>
      <c r="K242" s="78"/>
      <c r="L242" s="77"/>
      <c r="M242" s="50">
        <f>+[1]RRHH!K229</f>
        <v>223200</v>
      </c>
      <c r="N242" s="51"/>
      <c r="O242" s="77"/>
      <c r="P242" s="50">
        <f>+[1]RRHH!M229</f>
        <v>234720</v>
      </c>
      <c r="Q242" s="51"/>
      <c r="R242" s="52">
        <f t="shared" si="45"/>
        <v>0</v>
      </c>
      <c r="S242" s="53">
        <f t="shared" si="45"/>
        <v>659520</v>
      </c>
      <c r="T242" s="54">
        <f t="shared" si="45"/>
        <v>0</v>
      </c>
      <c r="U242" s="55">
        <f t="shared" si="39"/>
        <v>659520</v>
      </c>
    </row>
    <row r="243" spans="1:21" s="3" customFormat="1" ht="14.45" x14ac:dyDescent="0.3">
      <c r="A243" s="79" t="s">
        <v>380</v>
      </c>
      <c r="B243" s="5" t="s">
        <v>129</v>
      </c>
      <c r="C243" s="98" t="s">
        <v>300</v>
      </c>
      <c r="D243" s="68" t="s">
        <v>300</v>
      </c>
      <c r="E243" s="5" t="s">
        <v>425</v>
      </c>
      <c r="F243" s="75"/>
      <c r="G243" s="75"/>
      <c r="H243" s="76"/>
      <c r="I243" s="77">
        <f>61500*0.6</f>
        <v>36900</v>
      </c>
      <c r="J243" s="7">
        <f>61500*0.4</f>
        <v>24600</v>
      </c>
      <c r="K243" s="78"/>
      <c r="L243" s="77">
        <f>64575*0.6</f>
        <v>38745</v>
      </c>
      <c r="M243" s="50">
        <f>64575*0.4</f>
        <v>25830</v>
      </c>
      <c r="N243" s="51"/>
      <c r="O243" s="77">
        <f>67804*0.6</f>
        <v>40682.400000000001</v>
      </c>
      <c r="P243" s="50">
        <f>67804*0.4</f>
        <v>27121.600000000002</v>
      </c>
      <c r="Q243" s="51"/>
      <c r="R243" s="52">
        <f t="shared" si="45"/>
        <v>116327.4</v>
      </c>
      <c r="S243" s="53">
        <f t="shared" si="45"/>
        <v>77551.600000000006</v>
      </c>
      <c r="T243" s="54">
        <f t="shared" si="45"/>
        <v>0</v>
      </c>
      <c r="U243" s="55">
        <f t="shared" si="39"/>
        <v>193879</v>
      </c>
    </row>
    <row r="244" spans="1:21" ht="14.45" hidden="1" x14ac:dyDescent="0.3">
      <c r="A244" s="37"/>
      <c r="B244" s="38" t="s">
        <v>393</v>
      </c>
      <c r="C244" s="39"/>
      <c r="D244" s="40"/>
      <c r="E244" s="40"/>
      <c r="F244" s="41"/>
      <c r="G244" s="41"/>
      <c r="H244" s="42"/>
      <c r="I244" s="43"/>
      <c r="J244" s="42"/>
      <c r="K244" s="44"/>
      <c r="L244" s="43"/>
      <c r="M244" s="42"/>
      <c r="N244" s="44"/>
      <c r="O244" s="43"/>
      <c r="P244" s="42"/>
      <c r="Q244" s="44"/>
      <c r="R244" s="43"/>
      <c r="S244" s="42"/>
      <c r="T244" s="42"/>
      <c r="U244" s="45"/>
    </row>
    <row r="245" spans="1:21" s="3" customFormat="1" ht="30" x14ac:dyDescent="0.25">
      <c r="A245" s="79" t="s">
        <v>380</v>
      </c>
      <c r="B245" s="5" t="s">
        <v>8</v>
      </c>
      <c r="C245" s="98" t="s">
        <v>394</v>
      </c>
      <c r="D245" s="68" t="s">
        <v>395</v>
      </c>
      <c r="E245" s="5" t="s">
        <v>423</v>
      </c>
      <c r="F245" s="75">
        <v>130</v>
      </c>
      <c r="G245" s="75"/>
      <c r="H245" s="76"/>
      <c r="I245" s="77">
        <v>7958600</v>
      </c>
      <c r="J245" s="7"/>
      <c r="K245" s="78"/>
      <c r="L245" s="77"/>
      <c r="M245" s="50"/>
      <c r="N245" s="51"/>
      <c r="O245" s="77"/>
      <c r="P245" s="50"/>
      <c r="Q245" s="51"/>
      <c r="R245" s="52">
        <f t="shared" ref="R245:T249" si="46">+O245+L245+I245</f>
        <v>7958600</v>
      </c>
      <c r="S245" s="53">
        <f t="shared" si="46"/>
        <v>0</v>
      </c>
      <c r="T245" s="54">
        <f t="shared" si="46"/>
        <v>0</v>
      </c>
      <c r="U245" s="55">
        <f t="shared" si="39"/>
        <v>7958600</v>
      </c>
    </row>
    <row r="246" spans="1:21" s="3" customFormat="1" ht="30" x14ac:dyDescent="0.25">
      <c r="A246" s="79" t="s">
        <v>380</v>
      </c>
      <c r="B246" s="5" t="s">
        <v>8</v>
      </c>
      <c r="C246" s="98" t="s">
        <v>396</v>
      </c>
      <c r="D246" s="68" t="s">
        <v>395</v>
      </c>
      <c r="E246" s="5" t="s">
        <v>423</v>
      </c>
      <c r="F246" s="75">
        <v>130</v>
      </c>
      <c r="G246" s="75"/>
      <c r="H246" s="76"/>
      <c r="I246" s="77">
        <v>5280600</v>
      </c>
      <c r="J246" s="7"/>
      <c r="K246" s="78"/>
      <c r="L246" s="77"/>
      <c r="M246" s="50"/>
      <c r="N246" s="51"/>
      <c r="O246" s="77"/>
      <c r="P246" s="50"/>
      <c r="Q246" s="51"/>
      <c r="R246" s="52">
        <f t="shared" si="46"/>
        <v>5280600</v>
      </c>
      <c r="S246" s="53">
        <f t="shared" si="46"/>
        <v>0</v>
      </c>
      <c r="T246" s="54">
        <f t="shared" si="46"/>
        <v>0</v>
      </c>
      <c r="U246" s="55">
        <f t="shared" si="39"/>
        <v>5280600</v>
      </c>
    </row>
    <row r="247" spans="1:21" s="3" customFormat="1" ht="30" x14ac:dyDescent="0.25">
      <c r="A247" s="79" t="s">
        <v>380</v>
      </c>
      <c r="B247" s="5" t="s">
        <v>8</v>
      </c>
      <c r="C247" s="98" t="s">
        <v>397</v>
      </c>
      <c r="D247" s="68" t="s">
        <v>395</v>
      </c>
      <c r="E247" s="5" t="s">
        <v>423</v>
      </c>
      <c r="F247" s="75">
        <v>130</v>
      </c>
      <c r="G247" s="75"/>
      <c r="H247" s="76"/>
      <c r="I247" s="77">
        <v>2889950</v>
      </c>
      <c r="J247" s="7"/>
      <c r="K247" s="78"/>
      <c r="L247" s="77"/>
      <c r="M247" s="50"/>
      <c r="N247" s="51"/>
      <c r="O247" s="77"/>
      <c r="P247" s="50"/>
      <c r="Q247" s="51"/>
      <c r="R247" s="52">
        <f t="shared" si="46"/>
        <v>2889950</v>
      </c>
      <c r="S247" s="53">
        <f t="shared" si="46"/>
        <v>0</v>
      </c>
      <c r="T247" s="54">
        <f t="shared" si="46"/>
        <v>0</v>
      </c>
      <c r="U247" s="55">
        <f t="shared" si="39"/>
        <v>2889950</v>
      </c>
    </row>
    <row r="248" spans="1:21" s="3" customFormat="1" ht="30" x14ac:dyDescent="0.25">
      <c r="A248" s="79" t="s">
        <v>380</v>
      </c>
      <c r="B248" s="5" t="s">
        <v>8</v>
      </c>
      <c r="C248" s="98" t="s">
        <v>398</v>
      </c>
      <c r="D248" s="68" t="s">
        <v>395</v>
      </c>
      <c r="E248" s="5" t="s">
        <v>423</v>
      </c>
      <c r="F248" s="75">
        <v>111</v>
      </c>
      <c r="G248" s="75"/>
      <c r="H248" s="76"/>
      <c r="I248" s="77">
        <v>12010990</v>
      </c>
      <c r="J248" s="7"/>
      <c r="K248" s="78"/>
      <c r="L248" s="77"/>
      <c r="M248" s="50"/>
      <c r="N248" s="51"/>
      <c r="O248" s="77"/>
      <c r="P248" s="50"/>
      <c r="Q248" s="51"/>
      <c r="R248" s="52">
        <f t="shared" si="46"/>
        <v>12010990</v>
      </c>
      <c r="S248" s="53">
        <f t="shared" si="46"/>
        <v>0</v>
      </c>
      <c r="T248" s="54">
        <f t="shared" si="46"/>
        <v>0</v>
      </c>
      <c r="U248" s="55">
        <f t="shared" si="39"/>
        <v>12010990</v>
      </c>
    </row>
    <row r="249" spans="1:21" s="3" customFormat="1" ht="30" x14ac:dyDescent="0.25">
      <c r="A249" s="79" t="s">
        <v>380</v>
      </c>
      <c r="B249" s="5" t="s">
        <v>8</v>
      </c>
      <c r="C249" s="98" t="s">
        <v>399</v>
      </c>
      <c r="D249" s="68" t="s">
        <v>395</v>
      </c>
      <c r="E249" s="5" t="s">
        <v>423</v>
      </c>
      <c r="F249" s="75">
        <v>130</v>
      </c>
      <c r="G249" s="75"/>
      <c r="H249" s="76"/>
      <c r="I249" s="77">
        <v>1521100</v>
      </c>
      <c r="J249" s="7"/>
      <c r="K249" s="78"/>
      <c r="L249" s="77"/>
      <c r="M249" s="50"/>
      <c r="N249" s="51"/>
      <c r="O249" s="77"/>
      <c r="P249" s="50"/>
      <c r="Q249" s="51"/>
      <c r="R249" s="52">
        <f t="shared" si="46"/>
        <v>1521100</v>
      </c>
      <c r="S249" s="53">
        <f t="shared" si="46"/>
        <v>0</v>
      </c>
      <c r="T249" s="54">
        <f t="shared" si="46"/>
        <v>0</v>
      </c>
      <c r="U249" s="55">
        <f t="shared" si="39"/>
        <v>1521100</v>
      </c>
    </row>
    <row r="250" spans="1:21" ht="14.45" hidden="1" x14ac:dyDescent="0.3">
      <c r="A250" s="37"/>
      <c r="B250" s="38" t="s">
        <v>400</v>
      </c>
      <c r="C250" s="136"/>
      <c r="D250" s="40"/>
      <c r="E250" s="40"/>
      <c r="F250" s="41"/>
      <c r="G250" s="41"/>
      <c r="H250" s="42"/>
      <c r="I250" s="43"/>
      <c r="J250" s="42"/>
      <c r="K250" s="44"/>
      <c r="L250" s="43"/>
      <c r="M250" s="42"/>
      <c r="N250" s="44"/>
      <c r="O250" s="43"/>
      <c r="P250" s="42"/>
      <c r="Q250" s="44"/>
      <c r="R250" s="43"/>
      <c r="S250" s="42"/>
      <c r="T250" s="42"/>
      <c r="U250" s="45"/>
    </row>
    <row r="251" spans="1:21" s="3" customFormat="1" ht="45" x14ac:dyDescent="0.25">
      <c r="A251" s="79" t="s">
        <v>380</v>
      </c>
      <c r="B251" s="5" t="s">
        <v>401</v>
      </c>
      <c r="C251" s="98" t="s">
        <v>368</v>
      </c>
      <c r="D251" s="68" t="s">
        <v>368</v>
      </c>
      <c r="E251" s="5" t="s">
        <v>423</v>
      </c>
      <c r="F251" s="75"/>
      <c r="G251" s="75"/>
      <c r="H251" s="76"/>
      <c r="I251" s="77">
        <f>2267424*0.4</f>
        <v>906969.60000000009</v>
      </c>
      <c r="J251" s="7"/>
      <c r="K251" s="78"/>
      <c r="L251" s="77">
        <f>2267424*0.6</f>
        <v>1360454.4</v>
      </c>
      <c r="M251" s="50"/>
      <c r="N251" s="51"/>
      <c r="O251" s="77">
        <v>0</v>
      </c>
      <c r="P251" s="50"/>
      <c r="Q251" s="51"/>
      <c r="R251" s="52">
        <f t="shared" ref="R251:T251" si="47">+O251+L251+I251</f>
        <v>2267424</v>
      </c>
      <c r="S251" s="53">
        <f t="shared" si="47"/>
        <v>0</v>
      </c>
      <c r="T251" s="54">
        <f t="shared" si="47"/>
        <v>0</v>
      </c>
      <c r="U251" s="55">
        <f t="shared" si="39"/>
        <v>2267424</v>
      </c>
    </row>
    <row r="252" spans="1:21" ht="14.45" hidden="1" x14ac:dyDescent="0.3">
      <c r="A252" s="37"/>
      <c r="B252" s="38" t="s">
        <v>402</v>
      </c>
      <c r="C252" s="136"/>
      <c r="D252" s="40"/>
      <c r="E252" s="40"/>
      <c r="F252" s="41"/>
      <c r="G252" s="41"/>
      <c r="H252" s="42"/>
      <c r="I252" s="43"/>
      <c r="J252" s="42"/>
      <c r="K252" s="44"/>
      <c r="L252" s="43"/>
      <c r="M252" s="42"/>
      <c r="N252" s="44"/>
      <c r="O252" s="43"/>
      <c r="P252" s="42"/>
      <c r="Q252" s="44"/>
      <c r="R252" s="43"/>
      <c r="S252" s="42"/>
      <c r="T252" s="42"/>
      <c r="U252" s="45"/>
    </row>
    <row r="253" spans="1:21" s="3" customFormat="1" ht="30" x14ac:dyDescent="0.25">
      <c r="A253" s="79" t="s">
        <v>380</v>
      </c>
      <c r="B253" s="5" t="s">
        <v>403</v>
      </c>
      <c r="C253" s="98" t="s">
        <v>404</v>
      </c>
      <c r="D253" s="68" t="s">
        <v>405</v>
      </c>
      <c r="E253" s="5" t="s">
        <v>423</v>
      </c>
      <c r="F253" s="75"/>
      <c r="G253" s="75"/>
      <c r="H253" s="76"/>
      <c r="I253" s="77">
        <v>680228</v>
      </c>
      <c r="J253" s="7"/>
      <c r="K253" s="78"/>
      <c r="L253" s="77">
        <v>408137</v>
      </c>
      <c r="M253" s="50"/>
      <c r="N253" s="51"/>
      <c r="O253" s="77">
        <v>277090</v>
      </c>
      <c r="P253" s="50"/>
      <c r="Q253" s="51"/>
      <c r="R253" s="52">
        <f t="shared" ref="R253:T253" si="48">+O253+L253+I253</f>
        <v>1365455</v>
      </c>
      <c r="S253" s="53">
        <f t="shared" si="48"/>
        <v>0</v>
      </c>
      <c r="T253" s="54">
        <f t="shared" si="48"/>
        <v>0</v>
      </c>
      <c r="U253" s="55">
        <f t="shared" si="39"/>
        <v>1365455</v>
      </c>
    </row>
    <row r="254" spans="1:21" ht="14.45" hidden="1" x14ac:dyDescent="0.3">
      <c r="A254" s="37"/>
      <c r="B254" s="38" t="s">
        <v>406</v>
      </c>
      <c r="C254" s="136"/>
      <c r="D254" s="40"/>
      <c r="E254" s="40"/>
      <c r="F254" s="41"/>
      <c r="G254" s="41"/>
      <c r="H254" s="42"/>
      <c r="I254" s="43"/>
      <c r="J254" s="42"/>
      <c r="K254" s="44"/>
      <c r="L254" s="43"/>
      <c r="M254" s="42"/>
      <c r="N254" s="44"/>
      <c r="O254" s="43"/>
      <c r="P254" s="42"/>
      <c r="Q254" s="44"/>
      <c r="R254" s="43"/>
      <c r="S254" s="42"/>
      <c r="T254" s="42"/>
      <c r="U254" s="45"/>
    </row>
    <row r="255" spans="1:21" s="3" customFormat="1" x14ac:dyDescent="0.25">
      <c r="A255" s="79" t="s">
        <v>380</v>
      </c>
      <c r="B255" s="5" t="s">
        <v>407</v>
      </c>
      <c r="C255" s="98" t="s">
        <v>408</v>
      </c>
      <c r="D255" s="68" t="s">
        <v>408</v>
      </c>
      <c r="E255" s="5" t="s">
        <v>424</v>
      </c>
      <c r="F255" s="75"/>
      <c r="G255" s="75"/>
      <c r="H255" s="76"/>
      <c r="I255" s="77">
        <v>62350</v>
      </c>
      <c r="J255" s="7"/>
      <c r="K255" s="78"/>
      <c r="L255" s="77">
        <v>65467.5</v>
      </c>
      <c r="M255" s="50"/>
      <c r="N255" s="51"/>
      <c r="O255" s="77">
        <v>68740.875</v>
      </c>
      <c r="P255" s="50"/>
      <c r="Q255" s="51"/>
      <c r="R255" s="52">
        <f t="shared" ref="R255:T255" si="49">+O255+L255+I255</f>
        <v>196558.375</v>
      </c>
      <c r="S255" s="53">
        <f t="shared" si="49"/>
        <v>0</v>
      </c>
      <c r="T255" s="54">
        <f t="shared" si="49"/>
        <v>0</v>
      </c>
      <c r="U255" s="55">
        <f t="shared" si="39"/>
        <v>196558.375</v>
      </c>
    </row>
    <row r="256" spans="1:21" ht="14.45" hidden="1" x14ac:dyDescent="0.3">
      <c r="A256" s="37"/>
      <c r="B256" s="38" t="s">
        <v>409</v>
      </c>
      <c r="C256" s="136"/>
      <c r="D256" s="40"/>
      <c r="E256" s="40"/>
      <c r="F256" s="41"/>
      <c r="G256" s="41"/>
      <c r="H256" s="42"/>
      <c r="I256" s="43"/>
      <c r="J256" s="42"/>
      <c r="K256" s="44"/>
      <c r="L256" s="43"/>
      <c r="M256" s="42"/>
      <c r="N256" s="44"/>
      <c r="O256" s="43"/>
      <c r="P256" s="42"/>
      <c r="Q256" s="44"/>
      <c r="R256" s="43"/>
      <c r="S256" s="42"/>
      <c r="T256" s="42"/>
      <c r="U256" s="45"/>
    </row>
    <row r="257" spans="1:21" s="3" customFormat="1" ht="30" x14ac:dyDescent="0.25">
      <c r="A257" s="79" t="s">
        <v>380</v>
      </c>
      <c r="B257" s="5" t="s">
        <v>9</v>
      </c>
      <c r="C257" s="98" t="s">
        <v>410</v>
      </c>
      <c r="D257" s="68" t="s">
        <v>410</v>
      </c>
      <c r="E257" s="5" t="s">
        <v>424</v>
      </c>
      <c r="F257" s="75"/>
      <c r="G257" s="75"/>
      <c r="H257" s="76"/>
      <c r="I257" s="77">
        <v>80000</v>
      </c>
      <c r="J257" s="7"/>
      <c r="K257" s="78"/>
      <c r="L257" s="77">
        <v>320000</v>
      </c>
      <c r="M257" s="50"/>
      <c r="N257" s="51"/>
      <c r="O257" s="77"/>
      <c r="P257" s="50"/>
      <c r="Q257" s="51"/>
      <c r="R257" s="52">
        <f t="shared" ref="R257:T258" si="50">+O257+L257+I257</f>
        <v>400000</v>
      </c>
      <c r="S257" s="53">
        <f t="shared" si="50"/>
        <v>0</v>
      </c>
      <c r="T257" s="54">
        <f t="shared" si="50"/>
        <v>0</v>
      </c>
      <c r="U257" s="55">
        <f t="shared" si="39"/>
        <v>400000</v>
      </c>
    </row>
    <row r="258" spans="1:21" s="3" customFormat="1" ht="30" x14ac:dyDescent="0.25">
      <c r="A258" s="79" t="s">
        <v>380</v>
      </c>
      <c r="B258" s="5" t="s">
        <v>10</v>
      </c>
      <c r="C258" s="98" t="s">
        <v>410</v>
      </c>
      <c r="D258" s="68" t="s">
        <v>410</v>
      </c>
      <c r="E258" s="5" t="s">
        <v>424</v>
      </c>
      <c r="F258" s="75"/>
      <c r="G258" s="75"/>
      <c r="H258" s="76"/>
      <c r="I258" s="77"/>
      <c r="J258" s="7"/>
      <c r="K258" s="78"/>
      <c r="L258" s="77">
        <v>100440</v>
      </c>
      <c r="M258" s="50"/>
      <c r="N258" s="51"/>
      <c r="O258" s="77">
        <v>401760</v>
      </c>
      <c r="P258" s="50"/>
      <c r="Q258" s="51"/>
      <c r="R258" s="52">
        <f t="shared" si="50"/>
        <v>502200</v>
      </c>
      <c r="S258" s="53">
        <f t="shared" si="50"/>
        <v>0</v>
      </c>
      <c r="T258" s="54">
        <f t="shared" si="50"/>
        <v>0</v>
      </c>
      <c r="U258" s="55">
        <f t="shared" si="39"/>
        <v>502200</v>
      </c>
    </row>
    <row r="259" spans="1:21" ht="14.45" hidden="1" x14ac:dyDescent="0.3">
      <c r="A259" s="37"/>
      <c r="B259" s="38" t="s">
        <v>411</v>
      </c>
      <c r="C259" s="136"/>
      <c r="D259" s="40"/>
      <c r="E259" s="40"/>
      <c r="F259" s="41"/>
      <c r="G259" s="41"/>
      <c r="H259" s="42"/>
      <c r="I259" s="43"/>
      <c r="J259" s="42"/>
      <c r="K259" s="44"/>
      <c r="L259" s="43"/>
      <c r="M259" s="42"/>
      <c r="N259" s="44"/>
      <c r="O259" s="43"/>
      <c r="P259" s="42"/>
      <c r="Q259" s="44"/>
      <c r="R259" s="43"/>
      <c r="S259" s="42"/>
      <c r="T259" s="42"/>
      <c r="U259" s="45"/>
    </row>
    <row r="260" spans="1:21" s="3" customFormat="1" ht="30" x14ac:dyDescent="0.25">
      <c r="A260" s="79" t="s">
        <v>380</v>
      </c>
      <c r="B260" s="5" t="s">
        <v>11</v>
      </c>
      <c r="C260" s="98" t="s">
        <v>306</v>
      </c>
      <c r="D260" s="68" t="s">
        <v>306</v>
      </c>
      <c r="E260" s="5" t="s">
        <v>124</v>
      </c>
      <c r="F260" s="75"/>
      <c r="G260" s="75"/>
      <c r="H260" s="76"/>
      <c r="I260" s="77">
        <v>75581</v>
      </c>
      <c r="J260" s="7"/>
      <c r="K260" s="78"/>
      <c r="L260" s="77">
        <v>75581</v>
      </c>
      <c r="M260" s="50"/>
      <c r="N260" s="51"/>
      <c r="O260" s="77">
        <v>75581</v>
      </c>
      <c r="P260" s="50"/>
      <c r="Q260" s="51"/>
      <c r="R260" s="52">
        <f t="shared" ref="R260:T260" si="51">+O260+L260+I260</f>
        <v>226743</v>
      </c>
      <c r="S260" s="53">
        <f t="shared" si="51"/>
        <v>0</v>
      </c>
      <c r="T260" s="54">
        <f t="shared" si="51"/>
        <v>0</v>
      </c>
      <c r="U260" s="55">
        <f t="shared" si="39"/>
        <v>226743</v>
      </c>
    </row>
    <row r="261" spans="1:21" ht="14.45" hidden="1" x14ac:dyDescent="0.3">
      <c r="A261" s="37"/>
      <c r="B261" s="38" t="s">
        <v>412</v>
      </c>
      <c r="C261" s="136"/>
      <c r="D261" s="40"/>
      <c r="E261" s="40"/>
      <c r="F261" s="41"/>
      <c r="G261" s="41"/>
      <c r="H261" s="42"/>
      <c r="I261" s="43"/>
      <c r="J261" s="42"/>
      <c r="K261" s="44"/>
      <c r="L261" s="43"/>
      <c r="M261" s="42"/>
      <c r="N261" s="44"/>
      <c r="O261" s="43"/>
      <c r="P261" s="42"/>
      <c r="Q261" s="44"/>
      <c r="R261" s="43"/>
      <c r="S261" s="42"/>
      <c r="T261" s="42"/>
      <c r="U261" s="45"/>
    </row>
    <row r="262" spans="1:21" s="3" customFormat="1" x14ac:dyDescent="0.25">
      <c r="A262" s="79" t="s">
        <v>380</v>
      </c>
      <c r="B262" s="5" t="s">
        <v>129</v>
      </c>
      <c r="C262" s="98" t="s">
        <v>131</v>
      </c>
      <c r="D262" s="68" t="s">
        <v>131</v>
      </c>
      <c r="E262" s="5" t="s">
        <v>131</v>
      </c>
      <c r="F262" s="75"/>
      <c r="G262" s="75"/>
      <c r="H262" s="76"/>
      <c r="I262" s="77">
        <f>950000*0.5</f>
        <v>475000</v>
      </c>
      <c r="J262" s="7"/>
      <c r="K262" s="78"/>
      <c r="L262" s="77">
        <f>950000*0.5</f>
        <v>475000</v>
      </c>
      <c r="M262" s="50"/>
      <c r="N262" s="51"/>
      <c r="O262" s="77">
        <f>950000*0.5</f>
        <v>475000</v>
      </c>
      <c r="P262" s="50"/>
      <c r="Q262" s="51"/>
      <c r="R262" s="52">
        <f t="shared" ref="R262:T274" si="52">+O262+L262+I262</f>
        <v>1425000</v>
      </c>
      <c r="S262" s="53">
        <f t="shared" si="52"/>
        <v>0</v>
      </c>
      <c r="T262" s="54">
        <f t="shared" si="52"/>
        <v>0</v>
      </c>
      <c r="U262" s="55">
        <f t="shared" si="39"/>
        <v>1425000</v>
      </c>
    </row>
    <row r="263" spans="1:21" s="3" customFormat="1" x14ac:dyDescent="0.25">
      <c r="A263" s="79" t="s">
        <v>380</v>
      </c>
      <c r="B263" s="5" t="s">
        <v>132</v>
      </c>
      <c r="C263" s="98" t="s">
        <v>131</v>
      </c>
      <c r="D263" s="68" t="s">
        <v>131</v>
      </c>
      <c r="E263" s="5" t="s">
        <v>131</v>
      </c>
      <c r="F263" s="75"/>
      <c r="G263" s="75"/>
      <c r="H263" s="76"/>
      <c r="I263" s="77">
        <f>950000*0.1</f>
        <v>95000</v>
      </c>
      <c r="J263" s="7"/>
      <c r="K263" s="78"/>
      <c r="L263" s="77">
        <f>950000*0.1</f>
        <v>95000</v>
      </c>
      <c r="M263" s="50"/>
      <c r="N263" s="51"/>
      <c r="O263" s="77">
        <f>950000*0.1</f>
        <v>95000</v>
      </c>
      <c r="P263" s="50"/>
      <c r="Q263" s="51"/>
      <c r="R263" s="52">
        <f t="shared" si="52"/>
        <v>285000</v>
      </c>
      <c r="S263" s="53">
        <f t="shared" si="52"/>
        <v>0</v>
      </c>
      <c r="T263" s="54">
        <f t="shared" si="52"/>
        <v>0</v>
      </c>
      <c r="U263" s="55">
        <f t="shared" si="39"/>
        <v>285000</v>
      </c>
    </row>
    <row r="264" spans="1:21" s="3" customFormat="1" x14ac:dyDescent="0.25">
      <c r="A264" s="79" t="s">
        <v>380</v>
      </c>
      <c r="B264" s="5" t="s">
        <v>133</v>
      </c>
      <c r="C264" s="98" t="s">
        <v>131</v>
      </c>
      <c r="D264" s="68" t="s">
        <v>131</v>
      </c>
      <c r="E264" s="5" t="s">
        <v>131</v>
      </c>
      <c r="F264" s="75"/>
      <c r="G264" s="75"/>
      <c r="H264" s="76"/>
      <c r="I264" s="77">
        <f>950000*0.4</f>
        <v>380000</v>
      </c>
      <c r="J264" s="7"/>
      <c r="K264" s="78"/>
      <c r="L264" s="77">
        <f>950000*0.4</f>
        <v>380000</v>
      </c>
      <c r="M264" s="50"/>
      <c r="N264" s="51"/>
      <c r="O264" s="77">
        <f>950000*0.4</f>
        <v>380000</v>
      </c>
      <c r="P264" s="50"/>
      <c r="Q264" s="51"/>
      <c r="R264" s="52">
        <f t="shared" si="52"/>
        <v>1140000</v>
      </c>
      <c r="S264" s="53">
        <f t="shared" si="52"/>
        <v>0</v>
      </c>
      <c r="T264" s="54">
        <f t="shared" si="52"/>
        <v>0</v>
      </c>
      <c r="U264" s="55">
        <f t="shared" si="39"/>
        <v>1140000</v>
      </c>
    </row>
    <row r="265" spans="1:21" s="145" customFormat="1" ht="14.45" hidden="1" x14ac:dyDescent="0.3">
      <c r="A265" s="137" t="s">
        <v>413</v>
      </c>
      <c r="B265" s="138"/>
      <c r="C265" s="139"/>
      <c r="D265" s="140"/>
      <c r="E265" s="140"/>
      <c r="F265" s="141"/>
      <c r="G265" s="141"/>
      <c r="H265" s="142"/>
      <c r="I265" s="143">
        <f>SUM(I230:I264)</f>
        <v>32453268.600000001</v>
      </c>
      <c r="J265" s="143">
        <f t="shared" ref="J265:Q265" si="53">SUM(J230:J264)</f>
        <v>1861443.7021276597</v>
      </c>
      <c r="K265" s="143">
        <f t="shared" si="53"/>
        <v>611384.75199999998</v>
      </c>
      <c r="L265" s="143">
        <f t="shared" si="53"/>
        <v>3318824.9</v>
      </c>
      <c r="M265" s="143">
        <f t="shared" si="53"/>
        <v>2293978.2446808508</v>
      </c>
      <c r="N265" s="143">
        <f t="shared" si="53"/>
        <v>764230.94000000006</v>
      </c>
      <c r="O265" s="143">
        <f t="shared" si="53"/>
        <v>1813854.2749999999</v>
      </c>
      <c r="P265" s="143">
        <f t="shared" si="53"/>
        <v>2819152.8632978722</v>
      </c>
      <c r="Q265" s="143">
        <f t="shared" si="53"/>
        <v>955288.67499999993</v>
      </c>
      <c r="R265" s="143">
        <f>+O265+L265+I265</f>
        <v>37585947.774999999</v>
      </c>
      <c r="S265" s="142">
        <f t="shared" si="52"/>
        <v>6974574.8101063827</v>
      </c>
      <c r="T265" s="142">
        <f t="shared" si="52"/>
        <v>2330904.3670000001</v>
      </c>
      <c r="U265" s="144">
        <f t="shared" ref="U265:U274" si="54">+R265+S265+T265</f>
        <v>46891426.952106379</v>
      </c>
    </row>
    <row r="266" spans="1:21" s="113" customFormat="1" hidden="1" thickBot="1" x14ac:dyDescent="0.35">
      <c r="A266" s="146" t="s">
        <v>414</v>
      </c>
      <c r="B266" s="147"/>
      <c r="C266" s="147"/>
      <c r="D266" s="147"/>
      <c r="E266" s="147"/>
      <c r="F266" s="148"/>
      <c r="G266" s="149"/>
      <c r="H266" s="150"/>
      <c r="I266" s="151"/>
      <c r="J266" s="152"/>
      <c r="K266" s="153"/>
      <c r="L266" s="151"/>
      <c r="M266" s="152"/>
      <c r="N266" s="153"/>
      <c r="O266" s="151"/>
      <c r="P266" s="152"/>
      <c r="Q266" s="153"/>
      <c r="R266" s="151"/>
      <c r="S266" s="152"/>
      <c r="T266" s="154"/>
      <c r="U266" s="155"/>
    </row>
    <row r="267" spans="1:21" s="3" customFormat="1" ht="14.45" hidden="1" x14ac:dyDescent="0.3">
      <c r="A267" s="79" t="s">
        <v>415</v>
      </c>
      <c r="B267" s="5" t="s">
        <v>12</v>
      </c>
      <c r="C267" s="98" t="s">
        <v>306</v>
      </c>
      <c r="D267" s="68" t="s">
        <v>306</v>
      </c>
      <c r="E267" s="5" t="s">
        <v>124</v>
      </c>
      <c r="F267" s="75"/>
      <c r="G267" s="75"/>
      <c r="H267" s="76"/>
      <c r="I267" s="77">
        <v>250000</v>
      </c>
      <c r="J267" s="7">
        <v>0</v>
      </c>
      <c r="K267" s="78">
        <v>0</v>
      </c>
      <c r="L267" s="77">
        <v>250000</v>
      </c>
      <c r="M267" s="50">
        <v>0</v>
      </c>
      <c r="N267" s="51">
        <v>0</v>
      </c>
      <c r="O267" s="77">
        <v>250000</v>
      </c>
      <c r="P267" s="50">
        <v>0</v>
      </c>
      <c r="Q267" s="51">
        <v>0</v>
      </c>
      <c r="R267" s="52">
        <f t="shared" ref="R267:T272" si="55">+O267+L267+I267</f>
        <v>750000</v>
      </c>
      <c r="S267" s="53">
        <f t="shared" si="55"/>
        <v>0</v>
      </c>
      <c r="T267" s="54">
        <f t="shared" si="55"/>
        <v>0</v>
      </c>
      <c r="U267" s="55">
        <f t="shared" si="54"/>
        <v>750000</v>
      </c>
    </row>
    <row r="268" spans="1:21" s="3" customFormat="1" ht="14.45" hidden="1" x14ac:dyDescent="0.3">
      <c r="A268" s="79" t="s">
        <v>415</v>
      </c>
      <c r="B268" s="5" t="s">
        <v>416</v>
      </c>
      <c r="C268" s="98" t="s">
        <v>417</v>
      </c>
      <c r="D268" s="68" t="s">
        <v>417</v>
      </c>
      <c r="E268" s="5" t="s">
        <v>425</v>
      </c>
      <c r="F268" s="75"/>
      <c r="G268" s="75"/>
      <c r="H268" s="76"/>
      <c r="I268" s="77">
        <f>(2333414*1.3)/15</f>
        <v>202229.21333333335</v>
      </c>
      <c r="J268" s="7">
        <v>0</v>
      </c>
      <c r="K268" s="78">
        <v>0</v>
      </c>
      <c r="L268" s="77">
        <f>+I268*1.25</f>
        <v>252786.51666666669</v>
      </c>
      <c r="M268" s="50">
        <v>0</v>
      </c>
      <c r="N268" s="51">
        <v>0</v>
      </c>
      <c r="O268" s="77">
        <f>+L268*1.25</f>
        <v>315983.14583333337</v>
      </c>
      <c r="P268" s="50">
        <v>0</v>
      </c>
      <c r="Q268" s="51">
        <v>0</v>
      </c>
      <c r="R268" s="52">
        <f t="shared" si="55"/>
        <v>770998.87583333347</v>
      </c>
      <c r="S268" s="53">
        <f t="shared" si="55"/>
        <v>0</v>
      </c>
      <c r="T268" s="54">
        <f t="shared" si="55"/>
        <v>0</v>
      </c>
      <c r="U268" s="55">
        <f t="shared" si="54"/>
        <v>770998.87583333347</v>
      </c>
    </row>
    <row r="269" spans="1:21" s="3" customFormat="1" ht="14.45" hidden="1" x14ac:dyDescent="0.3">
      <c r="A269" s="79" t="s">
        <v>415</v>
      </c>
      <c r="B269" s="5" t="s">
        <v>418</v>
      </c>
      <c r="C269" s="98" t="s">
        <v>417</v>
      </c>
      <c r="D269" s="68" t="s">
        <v>417</v>
      </c>
      <c r="E269" s="5" t="s">
        <v>425</v>
      </c>
      <c r="F269" s="75"/>
      <c r="G269" s="75"/>
      <c r="H269" s="76"/>
      <c r="I269" s="77">
        <v>85000</v>
      </c>
      <c r="J269" s="7">
        <v>0</v>
      </c>
      <c r="K269" s="78">
        <v>0</v>
      </c>
      <c r="L269" s="77">
        <v>90000</v>
      </c>
      <c r="M269" s="50">
        <v>0</v>
      </c>
      <c r="N269" s="51">
        <v>0</v>
      </c>
      <c r="O269" s="77">
        <v>100000</v>
      </c>
      <c r="P269" s="50">
        <v>0</v>
      </c>
      <c r="Q269" s="51">
        <v>0</v>
      </c>
      <c r="R269" s="52">
        <f t="shared" si="55"/>
        <v>275000</v>
      </c>
      <c r="S269" s="53">
        <f t="shared" si="55"/>
        <v>0</v>
      </c>
      <c r="T269" s="54">
        <f t="shared" si="55"/>
        <v>0</v>
      </c>
      <c r="U269" s="55">
        <f t="shared" si="54"/>
        <v>275000</v>
      </c>
    </row>
    <row r="270" spans="1:21" s="3" customFormat="1" ht="14.45" hidden="1" x14ac:dyDescent="0.3">
      <c r="A270" s="79" t="s">
        <v>415</v>
      </c>
      <c r="B270" s="5" t="s">
        <v>419</v>
      </c>
      <c r="C270" s="98" t="s">
        <v>417</v>
      </c>
      <c r="D270" s="68" t="s">
        <v>417</v>
      </c>
      <c r="E270" s="5" t="s">
        <v>425</v>
      </c>
      <c r="F270" s="75"/>
      <c r="G270" s="75"/>
      <c r="H270" s="76"/>
      <c r="I270" s="77">
        <v>35000</v>
      </c>
      <c r="J270" s="7">
        <v>0</v>
      </c>
      <c r="K270" s="78">
        <v>0</v>
      </c>
      <c r="L270" s="77">
        <v>38000</v>
      </c>
      <c r="M270" s="50">
        <v>0</v>
      </c>
      <c r="N270" s="51">
        <v>0</v>
      </c>
      <c r="O270" s="77">
        <v>50000</v>
      </c>
      <c r="P270" s="50">
        <v>0</v>
      </c>
      <c r="Q270" s="51">
        <v>0</v>
      </c>
      <c r="R270" s="52">
        <f t="shared" si="55"/>
        <v>123000</v>
      </c>
      <c r="S270" s="53">
        <f t="shared" si="55"/>
        <v>0</v>
      </c>
      <c r="T270" s="54">
        <f t="shared" si="55"/>
        <v>0</v>
      </c>
      <c r="U270" s="55">
        <f t="shared" si="54"/>
        <v>123000</v>
      </c>
    </row>
    <row r="271" spans="1:21" s="3" customFormat="1" ht="14.45" hidden="1" x14ac:dyDescent="0.3">
      <c r="A271" s="79" t="s">
        <v>415</v>
      </c>
      <c r="B271" s="5" t="s">
        <v>420</v>
      </c>
      <c r="C271" s="98" t="s">
        <v>368</v>
      </c>
      <c r="D271" s="68" t="s">
        <v>368</v>
      </c>
      <c r="E271" s="5" t="s">
        <v>423</v>
      </c>
      <c r="F271" s="75">
        <v>70</v>
      </c>
      <c r="G271" s="75"/>
      <c r="H271" s="76"/>
      <c r="I271" s="77">
        <f>(800*1.05+174*1.21)*1.4*70</f>
        <v>102952.91999999998</v>
      </c>
      <c r="J271" s="7">
        <v>0</v>
      </c>
      <c r="K271" s="78">
        <v>0</v>
      </c>
      <c r="L271" s="77">
        <v>0</v>
      </c>
      <c r="M271" s="50">
        <v>0</v>
      </c>
      <c r="N271" s="51">
        <v>0</v>
      </c>
      <c r="O271" s="77">
        <v>0</v>
      </c>
      <c r="P271" s="50">
        <v>0</v>
      </c>
      <c r="Q271" s="51">
        <v>0</v>
      </c>
      <c r="R271" s="52">
        <f t="shared" si="55"/>
        <v>102952.91999999998</v>
      </c>
      <c r="S271" s="53">
        <f t="shared" si="55"/>
        <v>0</v>
      </c>
      <c r="T271" s="54">
        <f t="shared" si="55"/>
        <v>0</v>
      </c>
      <c r="U271" s="55">
        <f t="shared" si="54"/>
        <v>102952.91999999998</v>
      </c>
    </row>
    <row r="272" spans="1:21" s="3" customFormat="1" ht="14.45" hidden="1" x14ac:dyDescent="0.3">
      <c r="A272" s="79" t="s">
        <v>415</v>
      </c>
      <c r="B272" s="5" t="s">
        <v>417</v>
      </c>
      <c r="C272" s="98" t="s">
        <v>417</v>
      </c>
      <c r="D272" s="68" t="s">
        <v>417</v>
      </c>
      <c r="E272" s="5" t="s">
        <v>425</v>
      </c>
      <c r="F272" s="75"/>
      <c r="G272" s="75"/>
      <c r="H272" s="76"/>
      <c r="I272" s="77">
        <f>763800*0.8</f>
        <v>611040</v>
      </c>
      <c r="J272" s="7">
        <f>763800*0.2</f>
        <v>152760</v>
      </c>
      <c r="K272" s="78">
        <v>0</v>
      </c>
      <c r="L272" s="77">
        <f>693388*0.8</f>
        <v>554710.4</v>
      </c>
      <c r="M272" s="50">
        <f>693388*0.2</f>
        <v>138677.6</v>
      </c>
      <c r="N272" s="51">
        <v>0</v>
      </c>
      <c r="O272" s="77">
        <f>532432-3000-69069</f>
        <v>460363</v>
      </c>
      <c r="P272" s="50">
        <f>3000+69069</f>
        <v>72069</v>
      </c>
      <c r="Q272" s="51">
        <v>0</v>
      </c>
      <c r="R272" s="52">
        <f t="shared" si="55"/>
        <v>1626113.4</v>
      </c>
      <c r="S272" s="53">
        <f t="shared" si="55"/>
        <v>363506.6</v>
      </c>
      <c r="T272" s="54">
        <f t="shared" si="55"/>
        <v>0</v>
      </c>
      <c r="U272" s="55">
        <f t="shared" si="54"/>
        <v>1989620</v>
      </c>
    </row>
    <row r="273" spans="1:22" ht="14.45" hidden="1" x14ac:dyDescent="0.3">
      <c r="A273" s="156" t="s">
        <v>421</v>
      </c>
      <c r="B273" s="157"/>
      <c r="C273" s="158"/>
      <c r="D273" s="157"/>
      <c r="E273" s="185"/>
      <c r="F273" s="159"/>
      <c r="G273" s="160"/>
      <c r="H273" s="161"/>
      <c r="I273" s="162">
        <f>SUM(I267:I272)</f>
        <v>1286222.1333333333</v>
      </c>
      <c r="J273" s="163">
        <f t="shared" ref="J273:Q273" si="56">SUM(J267:J272)</f>
        <v>152760</v>
      </c>
      <c r="K273" s="164">
        <f t="shared" si="56"/>
        <v>0</v>
      </c>
      <c r="L273" s="162">
        <f>SUM(L267:L272)</f>
        <v>1185496.9166666667</v>
      </c>
      <c r="M273" s="165">
        <f t="shared" si="56"/>
        <v>138677.6</v>
      </c>
      <c r="N273" s="166">
        <f t="shared" si="56"/>
        <v>0</v>
      </c>
      <c r="O273" s="162">
        <f>SUM(O267:O272)</f>
        <v>1176346.1458333335</v>
      </c>
      <c r="P273" s="165">
        <f t="shared" si="56"/>
        <v>72069</v>
      </c>
      <c r="Q273" s="166">
        <f t="shared" si="56"/>
        <v>0</v>
      </c>
      <c r="R273" s="167">
        <f>+O273+L273+I273</f>
        <v>3648065.1958333333</v>
      </c>
      <c r="S273" s="168">
        <f t="shared" si="52"/>
        <v>363506.6</v>
      </c>
      <c r="T273" s="169">
        <f t="shared" si="52"/>
        <v>0</v>
      </c>
      <c r="U273" s="170">
        <f t="shared" si="54"/>
        <v>4011571.7958333334</v>
      </c>
      <c r="V273" s="171"/>
    </row>
    <row r="274" spans="1:22" s="113" customFormat="1" hidden="1" thickBot="1" x14ac:dyDescent="0.35">
      <c r="A274" s="172" t="s">
        <v>84</v>
      </c>
      <c r="B274" s="173"/>
      <c r="C274" s="173"/>
      <c r="D274" s="173"/>
      <c r="E274" s="173"/>
      <c r="F274" s="174"/>
      <c r="G274" s="175"/>
      <c r="H274" s="175"/>
      <c r="I274" s="176">
        <f t="shared" ref="I274:Q274" si="57">+I273+I265+I228+I155</f>
        <v>60287596.704889111</v>
      </c>
      <c r="J274" s="177">
        <f t="shared" si="57"/>
        <v>9855292.8344353549</v>
      </c>
      <c r="K274" s="177">
        <f t="shared" si="57"/>
        <v>1006566.032</v>
      </c>
      <c r="L274" s="176">
        <f t="shared" si="57"/>
        <v>22809199.363285799</v>
      </c>
      <c r="M274" s="177">
        <f t="shared" si="57"/>
        <v>13319570.080065466</v>
      </c>
      <c r="N274" s="178">
        <f t="shared" si="57"/>
        <v>1258207.54</v>
      </c>
      <c r="O274" s="177">
        <f>+O273+O265+O228+O155</f>
        <v>16903204.147742853</v>
      </c>
      <c r="P274" s="177">
        <f t="shared" si="57"/>
        <v>18027547.929964539</v>
      </c>
      <c r="Q274" s="178">
        <f t="shared" si="57"/>
        <v>1572759.4249999998</v>
      </c>
      <c r="R274" s="177">
        <f>+O274+L274+I274</f>
        <v>100000000.21591777</v>
      </c>
      <c r="S274" s="177">
        <f t="shared" si="52"/>
        <v>41202410.84446536</v>
      </c>
      <c r="T274" s="177">
        <f t="shared" si="52"/>
        <v>3837532.997</v>
      </c>
      <c r="U274" s="179">
        <f t="shared" si="54"/>
        <v>145039944.05738315</v>
      </c>
    </row>
    <row r="275" spans="1:22" x14ac:dyDescent="0.25">
      <c r="R275" s="180"/>
      <c r="S275" s="181"/>
    </row>
    <row r="276" spans="1:22" x14ac:dyDescent="0.25">
      <c r="I276" s="181"/>
      <c r="J276" s="181"/>
      <c r="K276" s="181"/>
      <c r="R276" s="181"/>
      <c r="U276" s="182"/>
    </row>
  </sheetData>
  <autoFilter ref="A4:CP274">
    <filterColumn colId="0">
      <filters>
        <filter val="MEDICAMENTOS"/>
      </filters>
    </filterColumn>
  </autoFilter>
  <mergeCells count="12">
    <mergeCell ref="U3:U4"/>
    <mergeCell ref="A3:A4"/>
    <mergeCell ref="B3:B4"/>
    <mergeCell ref="C3:C4"/>
    <mergeCell ref="D3:D4"/>
    <mergeCell ref="F3:F4"/>
    <mergeCell ref="G3:G4"/>
    <mergeCell ref="H3:H4"/>
    <mergeCell ref="I3:K3"/>
    <mergeCell ref="L3:N3"/>
    <mergeCell ref="O3:Q3"/>
    <mergeCell ref="R3:T3"/>
  </mergeCells>
  <pageMargins left="0.19685039370078741" right="0.19685039370078741" top="0.19685039370078741" bottom="0.19685039370078741" header="0.31496062992125984" footer="0.31496062992125984"/>
  <pageSetup paperSize="190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Normal="100" zoomScaleSheetLayoutView="100" workbookViewId="0">
      <selection activeCell="S1" sqref="S1:V1048576"/>
    </sheetView>
  </sheetViews>
  <sheetFormatPr defaultColWidth="11.42578125" defaultRowHeight="15" x14ac:dyDescent="0.25"/>
  <cols>
    <col min="1" max="1" width="7" style="1" customWidth="1"/>
    <col min="2" max="2" width="31.28515625" style="1" customWidth="1"/>
    <col min="3" max="3" width="8.140625" style="1" bestFit="1" customWidth="1"/>
    <col min="4" max="4" width="8.5703125" style="1" bestFit="1" customWidth="1"/>
    <col min="5" max="5" width="11.28515625" style="1" customWidth="1"/>
    <col min="6" max="6" width="11.28515625" style="1" bestFit="1" customWidth="1"/>
    <col min="7" max="13" width="12" style="1" bestFit="1" customWidth="1"/>
    <col min="14" max="14" width="12.85546875" style="1" customWidth="1"/>
    <col min="15" max="15" width="12.42578125" style="1" customWidth="1"/>
    <col min="16" max="17" width="12" style="1" bestFit="1" customWidth="1"/>
    <col min="18" max="18" width="5.140625" style="1" bestFit="1" customWidth="1"/>
    <col min="19" max="16384" width="11.42578125" style="1"/>
  </cols>
  <sheetData>
    <row r="1" spans="1:22" s="228" customFormat="1" ht="45" x14ac:dyDescent="0.25">
      <c r="A1" s="224" t="s">
        <v>13</v>
      </c>
      <c r="B1" s="224" t="s">
        <v>476</v>
      </c>
      <c r="C1" s="224" t="s">
        <v>477</v>
      </c>
      <c r="D1" s="224" t="s">
        <v>478</v>
      </c>
      <c r="E1" s="224" t="s">
        <v>479</v>
      </c>
      <c r="F1" s="224" t="s">
        <v>480</v>
      </c>
      <c r="G1" s="224" t="s">
        <v>481</v>
      </c>
      <c r="H1" s="224" t="s">
        <v>482</v>
      </c>
      <c r="I1" s="224" t="s">
        <v>483</v>
      </c>
      <c r="J1" s="224" t="s">
        <v>484</v>
      </c>
      <c r="K1" s="224" t="s">
        <v>485</v>
      </c>
      <c r="L1" s="224" t="s">
        <v>486</v>
      </c>
      <c r="M1" s="224" t="s">
        <v>487</v>
      </c>
      <c r="N1" s="224" t="s">
        <v>488</v>
      </c>
      <c r="O1" s="224" t="s">
        <v>489</v>
      </c>
      <c r="P1" s="224" t="s">
        <v>19</v>
      </c>
      <c r="Q1" s="224" t="s">
        <v>491</v>
      </c>
    </row>
    <row r="2" spans="1:22" ht="38.25" x14ac:dyDescent="0.25">
      <c r="A2" s="213" t="s">
        <v>21</v>
      </c>
      <c r="B2" s="188" t="s">
        <v>464</v>
      </c>
      <c r="C2" s="213" t="s">
        <v>22</v>
      </c>
      <c r="D2" s="190" t="s">
        <v>23</v>
      </c>
      <c r="E2" s="191">
        <v>43738</v>
      </c>
      <c r="F2" s="227">
        <f>+E2+15</f>
        <v>43753</v>
      </c>
      <c r="G2" s="227">
        <f>+F2+2</f>
        <v>43755</v>
      </c>
      <c r="H2" s="227">
        <f>+G2+7</f>
        <v>43762</v>
      </c>
      <c r="I2" s="227">
        <f>+H2+15</f>
        <v>43777</v>
      </c>
      <c r="J2" s="227">
        <f>+I2+45</f>
        <v>43822</v>
      </c>
      <c r="K2" s="227">
        <f>+J2+75</f>
        <v>43897</v>
      </c>
      <c r="L2" s="227">
        <f>+K2+2</f>
        <v>43899</v>
      </c>
      <c r="M2" s="227">
        <f>+L2+7</f>
        <v>43906</v>
      </c>
      <c r="N2" s="227">
        <f>+M2+5</f>
        <v>43911</v>
      </c>
      <c r="O2" s="227">
        <f>+N2+5</f>
        <v>43916</v>
      </c>
      <c r="P2" s="227">
        <f>+O2+28</f>
        <v>43944</v>
      </c>
      <c r="Q2" s="227">
        <f>+P2+R2</f>
        <v>44064</v>
      </c>
      <c r="R2" s="214">
        <v>120</v>
      </c>
      <c r="U2" s="216"/>
      <c r="V2" s="216"/>
    </row>
    <row r="3" spans="1:22" x14ac:dyDescent="0.25">
      <c r="A3" s="213" t="s">
        <v>24</v>
      </c>
      <c r="B3" s="213" t="s">
        <v>431</v>
      </c>
      <c r="C3" s="213" t="s">
        <v>25</v>
      </c>
      <c r="D3" s="190" t="s">
        <v>27</v>
      </c>
      <c r="E3" s="191">
        <v>42771</v>
      </c>
      <c r="F3" s="227">
        <f>+E3+10</f>
        <v>42781</v>
      </c>
      <c r="G3" s="225" t="s">
        <v>490</v>
      </c>
      <c r="H3" s="225" t="s">
        <v>490</v>
      </c>
      <c r="I3" s="227">
        <f>+F3+15</f>
        <v>42796</v>
      </c>
      <c r="J3" s="227">
        <f>+I3+35</f>
        <v>42831</v>
      </c>
      <c r="K3" s="227">
        <f>+J3+60</f>
        <v>42891</v>
      </c>
      <c r="L3" s="225" t="s">
        <v>490</v>
      </c>
      <c r="M3" s="225" t="s">
        <v>490</v>
      </c>
      <c r="N3" s="227">
        <f>+K3+5</f>
        <v>42896</v>
      </c>
      <c r="O3" s="227">
        <f>+N3+5</f>
        <v>42901</v>
      </c>
      <c r="P3" s="227">
        <f>+O3+15</f>
        <v>42916</v>
      </c>
      <c r="Q3" s="227">
        <f t="shared" ref="Q3:Q18" si="0">+P3+R3</f>
        <v>43006</v>
      </c>
      <c r="R3" s="214">
        <v>90</v>
      </c>
      <c r="U3" s="216"/>
      <c r="V3" s="216"/>
    </row>
    <row r="4" spans="1:22" ht="38.25" x14ac:dyDescent="0.25">
      <c r="A4" s="213" t="s">
        <v>26</v>
      </c>
      <c r="B4" s="188" t="s">
        <v>467</v>
      </c>
      <c r="C4" s="213" t="s">
        <v>29</v>
      </c>
      <c r="D4" s="190" t="s">
        <v>27</v>
      </c>
      <c r="E4" s="191">
        <v>43167</v>
      </c>
      <c r="F4" s="227">
        <f>+E4+5</f>
        <v>43172</v>
      </c>
      <c r="G4" s="225" t="s">
        <v>490</v>
      </c>
      <c r="H4" s="225" t="s">
        <v>490</v>
      </c>
      <c r="I4" s="227">
        <f>+F4+2</f>
        <v>43174</v>
      </c>
      <c r="J4" s="227">
        <f>+I4+15</f>
        <v>43189</v>
      </c>
      <c r="K4" s="227">
        <f>+J4+40</f>
        <v>43229</v>
      </c>
      <c r="L4" s="225" t="s">
        <v>490</v>
      </c>
      <c r="M4" s="225" t="s">
        <v>490</v>
      </c>
      <c r="N4" s="227">
        <f>+K4+3</f>
        <v>43232</v>
      </c>
      <c r="O4" s="227">
        <f>+N4+3</f>
        <v>43235</v>
      </c>
      <c r="P4" s="227">
        <f>+O4+15</f>
        <v>43250</v>
      </c>
      <c r="Q4" s="227">
        <f t="shared" si="0"/>
        <v>43280</v>
      </c>
      <c r="R4" s="214">
        <v>30</v>
      </c>
      <c r="U4" s="216"/>
      <c r="V4" s="216"/>
    </row>
    <row r="5" spans="1:22" x14ac:dyDescent="0.25">
      <c r="A5" s="213" t="s">
        <v>28</v>
      </c>
      <c r="B5" s="213" t="s">
        <v>428</v>
      </c>
      <c r="C5" s="213" t="s">
        <v>22</v>
      </c>
      <c r="D5" s="190" t="s">
        <v>23</v>
      </c>
      <c r="E5" s="191">
        <v>43054</v>
      </c>
      <c r="F5" s="227">
        <f>+E5+15</f>
        <v>43069</v>
      </c>
      <c r="G5" s="227">
        <f>+F5+2</f>
        <v>43071</v>
      </c>
      <c r="H5" s="227">
        <f>+G5+7</f>
        <v>43078</v>
      </c>
      <c r="I5" s="227">
        <f>+H5+15</f>
        <v>43093</v>
      </c>
      <c r="J5" s="227">
        <f>+I5+45</f>
        <v>43138</v>
      </c>
      <c r="K5" s="227">
        <f>+J5+75</f>
        <v>43213</v>
      </c>
      <c r="L5" s="227">
        <f>+K5+2</f>
        <v>43215</v>
      </c>
      <c r="M5" s="227">
        <f>+L5+7</f>
        <v>43222</v>
      </c>
      <c r="N5" s="227">
        <f>+M5+5</f>
        <v>43227</v>
      </c>
      <c r="O5" s="227">
        <f>+N5+5</f>
        <v>43232</v>
      </c>
      <c r="P5" s="227">
        <f>+O5+28</f>
        <v>43260</v>
      </c>
      <c r="Q5" s="227">
        <f t="shared" si="0"/>
        <v>43350</v>
      </c>
      <c r="R5" s="214">
        <v>90</v>
      </c>
      <c r="U5" s="216"/>
      <c r="V5" s="216"/>
    </row>
    <row r="6" spans="1:22" ht="63.75" x14ac:dyDescent="0.25">
      <c r="A6" s="213" t="s">
        <v>30</v>
      </c>
      <c r="B6" s="188" t="s">
        <v>474</v>
      </c>
      <c r="C6" s="213" t="s">
        <v>22</v>
      </c>
      <c r="D6" s="190" t="s">
        <v>23</v>
      </c>
      <c r="E6" s="191">
        <v>43363</v>
      </c>
      <c r="F6" s="227">
        <f t="shared" ref="F6:F7" si="1">+E6+15</f>
        <v>43378</v>
      </c>
      <c r="G6" s="227">
        <f t="shared" ref="G6:G7" si="2">+F6+2</f>
        <v>43380</v>
      </c>
      <c r="H6" s="227">
        <f t="shared" ref="H6:H7" si="3">+G6+7</f>
        <v>43387</v>
      </c>
      <c r="I6" s="227">
        <f t="shared" ref="I6:I7" si="4">+H6+15</f>
        <v>43402</v>
      </c>
      <c r="J6" s="227">
        <f t="shared" ref="J6:J7" si="5">+I6+45</f>
        <v>43447</v>
      </c>
      <c r="K6" s="227">
        <f t="shared" ref="K6:K7" si="6">+J6+75</f>
        <v>43522</v>
      </c>
      <c r="L6" s="227">
        <f t="shared" ref="L6:L7" si="7">+K6+2</f>
        <v>43524</v>
      </c>
      <c r="M6" s="227">
        <f t="shared" ref="M6:M7" si="8">+L6+7</f>
        <v>43531</v>
      </c>
      <c r="N6" s="227">
        <f t="shared" ref="N6:O6" si="9">+M6+5</f>
        <v>43536</v>
      </c>
      <c r="O6" s="227">
        <f t="shared" si="9"/>
        <v>43541</v>
      </c>
      <c r="P6" s="227">
        <f t="shared" ref="P6:P7" si="10">+O6+28</f>
        <v>43569</v>
      </c>
      <c r="Q6" s="227">
        <f t="shared" si="0"/>
        <v>43689</v>
      </c>
      <c r="R6" s="214">
        <v>120</v>
      </c>
      <c r="U6" s="216"/>
      <c r="V6" s="216"/>
    </row>
    <row r="7" spans="1:22" ht="63.75" x14ac:dyDescent="0.25">
      <c r="A7" s="213" t="s">
        <v>31</v>
      </c>
      <c r="B7" s="188" t="s">
        <v>475</v>
      </c>
      <c r="C7" s="213" t="s">
        <v>22</v>
      </c>
      <c r="D7" s="190" t="s">
        <v>23</v>
      </c>
      <c r="E7" s="191">
        <v>43716</v>
      </c>
      <c r="F7" s="227">
        <f t="shared" si="1"/>
        <v>43731</v>
      </c>
      <c r="G7" s="227">
        <f t="shared" si="2"/>
        <v>43733</v>
      </c>
      <c r="H7" s="227">
        <f t="shared" si="3"/>
        <v>43740</v>
      </c>
      <c r="I7" s="227">
        <f t="shared" si="4"/>
        <v>43755</v>
      </c>
      <c r="J7" s="227">
        <f t="shared" si="5"/>
        <v>43800</v>
      </c>
      <c r="K7" s="227">
        <f t="shared" si="6"/>
        <v>43875</v>
      </c>
      <c r="L7" s="227">
        <f t="shared" si="7"/>
        <v>43877</v>
      </c>
      <c r="M7" s="227">
        <f t="shared" si="8"/>
        <v>43884</v>
      </c>
      <c r="N7" s="227">
        <f t="shared" ref="N7:O7" si="11">+M7+5</f>
        <v>43889</v>
      </c>
      <c r="O7" s="227">
        <f t="shared" si="11"/>
        <v>43894</v>
      </c>
      <c r="P7" s="227">
        <f t="shared" si="10"/>
        <v>43922</v>
      </c>
      <c r="Q7" s="227">
        <f t="shared" si="0"/>
        <v>44042</v>
      </c>
      <c r="R7" s="214">
        <v>120</v>
      </c>
      <c r="U7" s="216"/>
      <c r="V7" s="216"/>
    </row>
    <row r="8" spans="1:22" x14ac:dyDescent="0.25">
      <c r="A8" s="213" t="s">
        <v>32</v>
      </c>
      <c r="B8" s="213" t="s">
        <v>38</v>
      </c>
      <c r="C8" s="213" t="s">
        <v>25</v>
      </c>
      <c r="D8" s="190" t="s">
        <v>27</v>
      </c>
      <c r="E8" s="191">
        <v>43784</v>
      </c>
      <c r="F8" s="227">
        <f>+E8+10</f>
        <v>43794</v>
      </c>
      <c r="G8" s="225" t="s">
        <v>490</v>
      </c>
      <c r="H8" s="225" t="s">
        <v>490</v>
      </c>
      <c r="I8" s="227">
        <f>+F8+15</f>
        <v>43809</v>
      </c>
      <c r="J8" s="227">
        <f>+I8+35</f>
        <v>43844</v>
      </c>
      <c r="K8" s="227">
        <f>+J8+60</f>
        <v>43904</v>
      </c>
      <c r="L8" s="225" t="s">
        <v>490</v>
      </c>
      <c r="M8" s="225" t="s">
        <v>490</v>
      </c>
      <c r="N8" s="227">
        <f>+K8+5</f>
        <v>43909</v>
      </c>
      <c r="O8" s="227">
        <f>+N8+5</f>
        <v>43914</v>
      </c>
      <c r="P8" s="227">
        <f>+O8+15</f>
        <v>43929</v>
      </c>
      <c r="Q8" s="227">
        <f t="shared" si="0"/>
        <v>44019</v>
      </c>
      <c r="R8" s="214">
        <v>90</v>
      </c>
      <c r="U8" s="216"/>
      <c r="V8" s="216"/>
    </row>
    <row r="9" spans="1:22" ht="38.25" x14ac:dyDescent="0.25">
      <c r="A9" s="213" t="s">
        <v>33</v>
      </c>
      <c r="B9" s="188" t="s">
        <v>39</v>
      </c>
      <c r="C9" s="213" t="s">
        <v>22</v>
      </c>
      <c r="D9" s="190" t="s">
        <v>23</v>
      </c>
      <c r="E9" s="191">
        <v>43363</v>
      </c>
      <c r="F9" s="227">
        <f>+E9+15</f>
        <v>43378</v>
      </c>
      <c r="G9" s="227">
        <f>+F9+2</f>
        <v>43380</v>
      </c>
      <c r="H9" s="227">
        <f>+G9+7</f>
        <v>43387</v>
      </c>
      <c r="I9" s="227">
        <f>+H9+15</f>
        <v>43402</v>
      </c>
      <c r="J9" s="227">
        <f>+I9+45</f>
        <v>43447</v>
      </c>
      <c r="K9" s="227">
        <f>+J9+75</f>
        <v>43522</v>
      </c>
      <c r="L9" s="227">
        <f>+K9+2</f>
        <v>43524</v>
      </c>
      <c r="M9" s="227">
        <f>+L9+7</f>
        <v>43531</v>
      </c>
      <c r="N9" s="227">
        <f>+M9+5</f>
        <v>43536</v>
      </c>
      <c r="O9" s="227">
        <f>+N9+5</f>
        <v>43541</v>
      </c>
      <c r="P9" s="227">
        <f>+O9+28</f>
        <v>43569</v>
      </c>
      <c r="Q9" s="227">
        <f t="shared" si="0"/>
        <v>43689</v>
      </c>
      <c r="R9" s="214">
        <v>120</v>
      </c>
      <c r="U9" s="216"/>
      <c r="V9" s="216"/>
    </row>
    <row r="10" spans="1:22" ht="38.25" x14ac:dyDescent="0.25">
      <c r="A10" s="213" t="s">
        <v>34</v>
      </c>
      <c r="B10" s="188" t="s">
        <v>40</v>
      </c>
      <c r="C10" s="213" t="s">
        <v>22</v>
      </c>
      <c r="D10" s="190" t="s">
        <v>23</v>
      </c>
      <c r="E10" s="191">
        <v>43716</v>
      </c>
      <c r="F10" s="227">
        <f t="shared" ref="F10:F11" si="12">+E10+15</f>
        <v>43731</v>
      </c>
      <c r="G10" s="227">
        <f t="shared" ref="G10:G11" si="13">+F10+2</f>
        <v>43733</v>
      </c>
      <c r="H10" s="227">
        <f t="shared" ref="H10:H11" si="14">+G10+7</f>
        <v>43740</v>
      </c>
      <c r="I10" s="227">
        <f t="shared" ref="I10:I11" si="15">+H10+15</f>
        <v>43755</v>
      </c>
      <c r="J10" s="227">
        <f t="shared" ref="J10:J11" si="16">+I10+45</f>
        <v>43800</v>
      </c>
      <c r="K10" s="227">
        <f t="shared" ref="K10:K11" si="17">+J10+75</f>
        <v>43875</v>
      </c>
      <c r="L10" s="227">
        <f t="shared" ref="L10:L11" si="18">+K10+2</f>
        <v>43877</v>
      </c>
      <c r="M10" s="227">
        <f t="shared" ref="M10:M11" si="19">+L10+7</f>
        <v>43884</v>
      </c>
      <c r="N10" s="227">
        <f t="shared" ref="N10:O10" si="20">+M10+5</f>
        <v>43889</v>
      </c>
      <c r="O10" s="227">
        <f t="shared" si="20"/>
        <v>43894</v>
      </c>
      <c r="P10" s="227">
        <f t="shared" ref="P10:P11" si="21">+O10+28</f>
        <v>43922</v>
      </c>
      <c r="Q10" s="227">
        <f t="shared" si="0"/>
        <v>44042</v>
      </c>
      <c r="R10" s="221">
        <v>120</v>
      </c>
      <c r="U10" s="216"/>
      <c r="V10" s="216"/>
    </row>
    <row r="11" spans="1:22" ht="25.5" x14ac:dyDescent="0.25">
      <c r="A11" s="213" t="s">
        <v>35</v>
      </c>
      <c r="B11" s="188" t="s">
        <v>436</v>
      </c>
      <c r="C11" s="213" t="s">
        <v>22</v>
      </c>
      <c r="D11" s="190" t="s">
        <v>427</v>
      </c>
      <c r="E11" s="191">
        <v>42788</v>
      </c>
      <c r="F11" s="227">
        <f t="shared" si="12"/>
        <v>42803</v>
      </c>
      <c r="G11" s="227">
        <f t="shared" si="13"/>
        <v>42805</v>
      </c>
      <c r="H11" s="227">
        <f t="shared" si="14"/>
        <v>42812</v>
      </c>
      <c r="I11" s="227">
        <f t="shared" si="15"/>
        <v>42827</v>
      </c>
      <c r="J11" s="227">
        <f t="shared" si="16"/>
        <v>42872</v>
      </c>
      <c r="K11" s="227">
        <f t="shared" si="17"/>
        <v>42947</v>
      </c>
      <c r="L11" s="227">
        <f t="shared" si="18"/>
        <v>42949</v>
      </c>
      <c r="M11" s="227">
        <f t="shared" si="19"/>
        <v>42956</v>
      </c>
      <c r="N11" s="227">
        <f t="shared" ref="N11:O11" si="22">+M11+5</f>
        <v>42961</v>
      </c>
      <c r="O11" s="227">
        <f t="shared" si="22"/>
        <v>42966</v>
      </c>
      <c r="P11" s="227">
        <f t="shared" si="21"/>
        <v>42994</v>
      </c>
      <c r="Q11" s="227">
        <f t="shared" si="0"/>
        <v>43114</v>
      </c>
      <c r="R11" s="221">
        <v>120</v>
      </c>
      <c r="U11" s="216"/>
      <c r="V11" s="216"/>
    </row>
    <row r="12" spans="1:22" ht="25.5" x14ac:dyDescent="0.25">
      <c r="A12" s="213" t="s">
        <v>36</v>
      </c>
      <c r="B12" s="188" t="s">
        <v>439</v>
      </c>
      <c r="C12" s="213" t="s">
        <v>29</v>
      </c>
      <c r="D12" s="190" t="s">
        <v>427</v>
      </c>
      <c r="E12" s="191">
        <v>42783</v>
      </c>
      <c r="F12" s="227">
        <f>+E12+5</f>
        <v>42788</v>
      </c>
      <c r="G12" s="225" t="s">
        <v>490</v>
      </c>
      <c r="H12" s="225" t="s">
        <v>490</v>
      </c>
      <c r="I12" s="227">
        <f>+F12+2</f>
        <v>42790</v>
      </c>
      <c r="J12" s="227">
        <f>+I12+15</f>
        <v>42805</v>
      </c>
      <c r="K12" s="227">
        <f>+J12+40</f>
        <v>42845</v>
      </c>
      <c r="L12" s="225" t="s">
        <v>490</v>
      </c>
      <c r="M12" s="225" t="s">
        <v>490</v>
      </c>
      <c r="N12" s="227">
        <f>+K12+3</f>
        <v>42848</v>
      </c>
      <c r="O12" s="227">
        <f>+N12+3</f>
        <v>42851</v>
      </c>
      <c r="P12" s="227">
        <f>+O12+15</f>
        <v>42866</v>
      </c>
      <c r="Q12" s="227">
        <f t="shared" si="0"/>
        <v>42911</v>
      </c>
      <c r="R12" s="221">
        <v>45</v>
      </c>
      <c r="U12" s="216"/>
      <c r="V12" s="216"/>
    </row>
    <row r="13" spans="1:22" ht="25.5" x14ac:dyDescent="0.25">
      <c r="A13" s="213" t="s">
        <v>37</v>
      </c>
      <c r="B13" s="188" t="s">
        <v>460</v>
      </c>
      <c r="C13" s="213" t="s">
        <v>25</v>
      </c>
      <c r="D13" s="190" t="s">
        <v>427</v>
      </c>
      <c r="E13" s="191">
        <v>43059</v>
      </c>
      <c r="F13" s="227">
        <f>+E13+10</f>
        <v>43069</v>
      </c>
      <c r="G13" s="225" t="s">
        <v>490</v>
      </c>
      <c r="H13" s="225" t="s">
        <v>490</v>
      </c>
      <c r="I13" s="227">
        <f>+F13+15</f>
        <v>43084</v>
      </c>
      <c r="J13" s="227">
        <f>+I13+35</f>
        <v>43119</v>
      </c>
      <c r="K13" s="227">
        <f>+J13+60</f>
        <v>43179</v>
      </c>
      <c r="L13" s="225" t="s">
        <v>490</v>
      </c>
      <c r="M13" s="225" t="s">
        <v>490</v>
      </c>
      <c r="N13" s="227">
        <f>+K13+5</f>
        <v>43184</v>
      </c>
      <c r="O13" s="227">
        <f>+N13+5</f>
        <v>43189</v>
      </c>
      <c r="P13" s="227">
        <f>+O13+15</f>
        <v>43204</v>
      </c>
      <c r="Q13" s="227">
        <f t="shared" si="0"/>
        <v>43294</v>
      </c>
      <c r="R13" s="221">
        <v>90</v>
      </c>
      <c r="U13" s="216"/>
      <c r="V13" s="216"/>
    </row>
    <row r="14" spans="1:22" ht="25.5" x14ac:dyDescent="0.25">
      <c r="A14" s="213" t="s">
        <v>435</v>
      </c>
      <c r="B14" s="188" t="s">
        <v>437</v>
      </c>
      <c r="C14" s="213" t="s">
        <v>22</v>
      </c>
      <c r="D14" s="190" t="s">
        <v>427</v>
      </c>
      <c r="E14" s="191">
        <v>43153</v>
      </c>
      <c r="F14" s="227">
        <f t="shared" ref="F14:F16" si="23">+E14+15</f>
        <v>43168</v>
      </c>
      <c r="G14" s="227">
        <f t="shared" ref="G14:G16" si="24">+F14+2</f>
        <v>43170</v>
      </c>
      <c r="H14" s="227">
        <f t="shared" ref="H14:H16" si="25">+G14+7</f>
        <v>43177</v>
      </c>
      <c r="I14" s="227">
        <f t="shared" ref="I14:I16" si="26">+H14+15</f>
        <v>43192</v>
      </c>
      <c r="J14" s="227">
        <f t="shared" ref="J14:J16" si="27">+I14+45</f>
        <v>43237</v>
      </c>
      <c r="K14" s="227">
        <f t="shared" ref="K14:K16" si="28">+J14+75</f>
        <v>43312</v>
      </c>
      <c r="L14" s="227">
        <f t="shared" ref="L14:L16" si="29">+K14+2</f>
        <v>43314</v>
      </c>
      <c r="M14" s="227">
        <f t="shared" ref="M14:M16" si="30">+L14+7</f>
        <v>43321</v>
      </c>
      <c r="N14" s="227">
        <f t="shared" ref="N14:O16" si="31">+M14+5</f>
        <v>43326</v>
      </c>
      <c r="O14" s="227">
        <f t="shared" si="31"/>
        <v>43331</v>
      </c>
      <c r="P14" s="227">
        <f t="shared" ref="P14:P16" si="32">+O14+28</f>
        <v>43359</v>
      </c>
      <c r="Q14" s="227">
        <f t="shared" si="0"/>
        <v>43479</v>
      </c>
      <c r="R14" s="221">
        <v>120</v>
      </c>
      <c r="U14" s="216"/>
      <c r="V14" s="216"/>
    </row>
    <row r="15" spans="1:22" ht="25.5" x14ac:dyDescent="0.25">
      <c r="A15" s="213" t="s">
        <v>441</v>
      </c>
      <c r="B15" s="188" t="s">
        <v>440</v>
      </c>
      <c r="C15" s="213" t="s">
        <v>29</v>
      </c>
      <c r="D15" s="190" t="s">
        <v>427</v>
      </c>
      <c r="E15" s="191">
        <v>43148</v>
      </c>
      <c r="F15" s="227">
        <f>+E15+5</f>
        <v>43153</v>
      </c>
      <c r="G15" s="225" t="s">
        <v>490</v>
      </c>
      <c r="H15" s="225" t="s">
        <v>490</v>
      </c>
      <c r="I15" s="227">
        <f>+F15+2</f>
        <v>43155</v>
      </c>
      <c r="J15" s="227">
        <f>+I15+15</f>
        <v>43170</v>
      </c>
      <c r="K15" s="227">
        <f>+J15+40</f>
        <v>43210</v>
      </c>
      <c r="L15" s="225" t="s">
        <v>490</v>
      </c>
      <c r="M15" s="225" t="s">
        <v>490</v>
      </c>
      <c r="N15" s="227">
        <f>+K15+3</f>
        <v>43213</v>
      </c>
      <c r="O15" s="227">
        <f>+N15+3</f>
        <v>43216</v>
      </c>
      <c r="P15" s="227">
        <f>+O15+15</f>
        <v>43231</v>
      </c>
      <c r="Q15" s="227">
        <f t="shared" si="0"/>
        <v>43276</v>
      </c>
      <c r="R15" s="221">
        <v>45</v>
      </c>
      <c r="U15" s="216"/>
      <c r="V15" s="216"/>
    </row>
    <row r="16" spans="1:22" ht="25.5" x14ac:dyDescent="0.25">
      <c r="A16" s="213" t="s">
        <v>442</v>
      </c>
      <c r="B16" s="188" t="s">
        <v>461</v>
      </c>
      <c r="C16" s="213" t="s">
        <v>22</v>
      </c>
      <c r="D16" s="190" t="s">
        <v>427</v>
      </c>
      <c r="E16" s="191">
        <v>43363</v>
      </c>
      <c r="F16" s="227">
        <f t="shared" si="23"/>
        <v>43378</v>
      </c>
      <c r="G16" s="227">
        <f t="shared" si="24"/>
        <v>43380</v>
      </c>
      <c r="H16" s="227">
        <f t="shared" si="25"/>
        <v>43387</v>
      </c>
      <c r="I16" s="227">
        <f t="shared" si="26"/>
        <v>43402</v>
      </c>
      <c r="J16" s="227">
        <f t="shared" si="27"/>
        <v>43447</v>
      </c>
      <c r="K16" s="227">
        <f t="shared" si="28"/>
        <v>43522</v>
      </c>
      <c r="L16" s="227">
        <f t="shared" si="29"/>
        <v>43524</v>
      </c>
      <c r="M16" s="227">
        <f t="shared" si="30"/>
        <v>43531</v>
      </c>
      <c r="N16" s="227">
        <f t="shared" si="31"/>
        <v>43536</v>
      </c>
      <c r="O16" s="227">
        <f t="shared" si="31"/>
        <v>43541</v>
      </c>
      <c r="P16" s="227">
        <f t="shared" si="32"/>
        <v>43569</v>
      </c>
      <c r="Q16" s="227">
        <f t="shared" si="0"/>
        <v>43689</v>
      </c>
      <c r="R16" s="221">
        <v>120</v>
      </c>
      <c r="U16" s="216"/>
      <c r="V16" s="216"/>
    </row>
    <row r="17" spans="1:22" ht="25.5" x14ac:dyDescent="0.25">
      <c r="A17" s="213" t="s">
        <v>443</v>
      </c>
      <c r="B17" s="188" t="s">
        <v>459</v>
      </c>
      <c r="C17" s="213" t="s">
        <v>29</v>
      </c>
      <c r="D17" s="190" t="s">
        <v>427</v>
      </c>
      <c r="E17" s="191">
        <v>43513</v>
      </c>
      <c r="F17" s="227">
        <f>+E17+5</f>
        <v>43518</v>
      </c>
      <c r="G17" s="225" t="s">
        <v>490</v>
      </c>
      <c r="H17" s="225" t="s">
        <v>490</v>
      </c>
      <c r="I17" s="227">
        <f>+F17+2</f>
        <v>43520</v>
      </c>
      <c r="J17" s="227">
        <f>+I17+15</f>
        <v>43535</v>
      </c>
      <c r="K17" s="227">
        <f>+J17+40</f>
        <v>43575</v>
      </c>
      <c r="L17" s="225" t="s">
        <v>490</v>
      </c>
      <c r="M17" s="225" t="s">
        <v>490</v>
      </c>
      <c r="N17" s="227">
        <f>+K17+3</f>
        <v>43578</v>
      </c>
      <c r="O17" s="227">
        <f>+N17+3</f>
        <v>43581</v>
      </c>
      <c r="P17" s="227">
        <f>+O17+15</f>
        <v>43596</v>
      </c>
      <c r="Q17" s="227">
        <f t="shared" si="0"/>
        <v>43641</v>
      </c>
      <c r="R17" s="221">
        <v>45</v>
      </c>
      <c r="U17" s="216"/>
      <c r="V17" s="216"/>
    </row>
    <row r="18" spans="1:22" ht="25.5" x14ac:dyDescent="0.25">
      <c r="A18" s="213" t="s">
        <v>445</v>
      </c>
      <c r="B18" s="188" t="s">
        <v>438</v>
      </c>
      <c r="C18" s="213" t="s">
        <v>22</v>
      </c>
      <c r="D18" s="190" t="s">
        <v>427</v>
      </c>
      <c r="E18" s="191">
        <v>43406</v>
      </c>
      <c r="F18" s="227">
        <f t="shared" ref="F18" si="33">+E18+15</f>
        <v>43421</v>
      </c>
      <c r="G18" s="227">
        <f t="shared" ref="G18" si="34">+F18+2</f>
        <v>43423</v>
      </c>
      <c r="H18" s="227">
        <f t="shared" ref="H18" si="35">+G18+7</f>
        <v>43430</v>
      </c>
      <c r="I18" s="227">
        <f t="shared" ref="I18" si="36">+H18+15</f>
        <v>43445</v>
      </c>
      <c r="J18" s="227">
        <f t="shared" ref="J18" si="37">+I18+45</f>
        <v>43490</v>
      </c>
      <c r="K18" s="227">
        <f t="shared" ref="K18" si="38">+J18+75</f>
        <v>43565</v>
      </c>
      <c r="L18" s="227">
        <f t="shared" ref="L18" si="39">+K18+2</f>
        <v>43567</v>
      </c>
      <c r="M18" s="227">
        <f t="shared" ref="M18" si="40">+L18+7</f>
        <v>43574</v>
      </c>
      <c r="N18" s="227">
        <f t="shared" ref="N18:O18" si="41">+M18+5</f>
        <v>43579</v>
      </c>
      <c r="O18" s="227">
        <f t="shared" si="41"/>
        <v>43584</v>
      </c>
      <c r="P18" s="227">
        <f t="shared" ref="P18" si="42">+O18+28</f>
        <v>43612</v>
      </c>
      <c r="Q18" s="227">
        <f t="shared" si="0"/>
        <v>43732</v>
      </c>
      <c r="R18" s="221">
        <v>120</v>
      </c>
      <c r="U18" s="216"/>
      <c r="V18" s="216"/>
    </row>
  </sheetData>
  <pageMargins left="0.24" right="0.19" top="0.74803149606299213" bottom="0.74803149606299213" header="0.31496062992125984" footer="0.31496062992125984"/>
  <pageSetup paperSize="9" scale="68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topLeftCell="H1" zoomScaleNormal="100" zoomScaleSheetLayoutView="100" workbookViewId="0">
      <selection activeCell="S1" sqref="S1:V1048576"/>
    </sheetView>
  </sheetViews>
  <sheetFormatPr defaultColWidth="11.42578125" defaultRowHeight="15" x14ac:dyDescent="0.25"/>
  <cols>
    <col min="1" max="1" width="11.28515625" style="1" bestFit="1" customWidth="1"/>
    <col min="2" max="2" width="30.28515625" style="1" bestFit="1" customWidth="1"/>
    <col min="3" max="3" width="8.140625" style="1" bestFit="1" customWidth="1"/>
    <col min="4" max="4" width="8.5703125" style="1" bestFit="1" customWidth="1"/>
    <col min="5" max="6" width="12" style="1" bestFit="1" customWidth="1"/>
    <col min="7" max="8" width="11.5703125" style="1" bestFit="1" customWidth="1"/>
    <col min="9" max="13" width="12" style="1" bestFit="1" customWidth="1"/>
    <col min="14" max="14" width="12.42578125" style="1" customWidth="1"/>
    <col min="15" max="15" width="12.28515625" style="1" customWidth="1"/>
    <col min="16" max="16" width="10.7109375" style="1" bestFit="1" customWidth="1"/>
    <col min="17" max="17" width="11.140625" style="1" bestFit="1" customWidth="1"/>
    <col min="18" max="18" width="4" style="1" bestFit="1" customWidth="1"/>
    <col min="19" max="16384" width="11.42578125" style="1"/>
  </cols>
  <sheetData>
    <row r="1" spans="1:22" ht="60" x14ac:dyDescent="0.25">
      <c r="A1" s="223" t="s">
        <v>492</v>
      </c>
      <c r="B1" s="223" t="s">
        <v>14</v>
      </c>
      <c r="C1" s="223" t="s">
        <v>477</v>
      </c>
      <c r="D1" s="223" t="s">
        <v>478</v>
      </c>
      <c r="E1" s="224" t="s">
        <v>479</v>
      </c>
      <c r="F1" s="224" t="s">
        <v>480</v>
      </c>
      <c r="G1" s="224" t="s">
        <v>481</v>
      </c>
      <c r="H1" s="224" t="s">
        <v>482</v>
      </c>
      <c r="I1" s="224" t="s">
        <v>483</v>
      </c>
      <c r="J1" s="224" t="s">
        <v>484</v>
      </c>
      <c r="K1" s="224" t="s">
        <v>485</v>
      </c>
      <c r="L1" s="224" t="s">
        <v>486</v>
      </c>
      <c r="M1" s="224" t="s">
        <v>487</v>
      </c>
      <c r="N1" s="224" t="s">
        <v>488</v>
      </c>
      <c r="O1" s="224" t="s">
        <v>489</v>
      </c>
      <c r="P1" s="224" t="s">
        <v>19</v>
      </c>
      <c r="Q1" s="224" t="s">
        <v>491</v>
      </c>
      <c r="R1"/>
    </row>
    <row r="2" spans="1:22" x14ac:dyDescent="0.25">
      <c r="A2" s="213" t="s">
        <v>41</v>
      </c>
      <c r="B2" s="213" t="s">
        <v>42</v>
      </c>
      <c r="C2" s="213" t="s">
        <v>25</v>
      </c>
      <c r="D2" s="190" t="s">
        <v>27</v>
      </c>
      <c r="E2" s="227">
        <v>42694</v>
      </c>
      <c r="F2" s="227">
        <f>+E2+10</f>
        <v>42704</v>
      </c>
      <c r="G2" s="229" t="s">
        <v>490</v>
      </c>
      <c r="H2" s="229" t="s">
        <v>490</v>
      </c>
      <c r="I2" s="227">
        <f>+F2+15</f>
        <v>42719</v>
      </c>
      <c r="J2" s="227">
        <f>+I2+35</f>
        <v>42754</v>
      </c>
      <c r="K2" s="227">
        <f>+J2+60</f>
        <v>42814</v>
      </c>
      <c r="L2" s="229" t="s">
        <v>490</v>
      </c>
      <c r="M2" s="229" t="s">
        <v>490</v>
      </c>
      <c r="N2" s="227">
        <f>+K2+5</f>
        <v>42819</v>
      </c>
      <c r="O2" s="227">
        <f>+N2+5</f>
        <v>42824</v>
      </c>
      <c r="P2" s="227">
        <f>+O2+15</f>
        <v>42839</v>
      </c>
      <c r="Q2" s="227">
        <f>+P2+R2</f>
        <v>42959</v>
      </c>
      <c r="R2" s="214">
        <v>120</v>
      </c>
      <c r="U2" s="216"/>
      <c r="V2" s="216"/>
    </row>
    <row r="3" spans="1:22" x14ac:dyDescent="0.25">
      <c r="A3" s="213" t="s">
        <v>45</v>
      </c>
      <c r="B3" s="213" t="s">
        <v>43</v>
      </c>
      <c r="C3" s="213" t="s">
        <v>22</v>
      </c>
      <c r="D3" s="190" t="s">
        <v>23</v>
      </c>
      <c r="E3" s="227">
        <v>43007</v>
      </c>
      <c r="F3" s="227">
        <f>+E3+15</f>
        <v>43022</v>
      </c>
      <c r="G3" s="227">
        <f>+F3+2</f>
        <v>43024</v>
      </c>
      <c r="H3" s="227">
        <f>+G3+7</f>
        <v>43031</v>
      </c>
      <c r="I3" s="227">
        <f>+H3+15</f>
        <v>43046</v>
      </c>
      <c r="J3" s="227">
        <f>+I3+45</f>
        <v>43091</v>
      </c>
      <c r="K3" s="227">
        <f>+J3+75</f>
        <v>43166</v>
      </c>
      <c r="L3" s="227">
        <f>+K3+2</f>
        <v>43168</v>
      </c>
      <c r="M3" s="227">
        <f>+L3+7</f>
        <v>43175</v>
      </c>
      <c r="N3" s="227">
        <f>+M3+5</f>
        <v>43180</v>
      </c>
      <c r="O3" s="227">
        <f>+N3+5</f>
        <v>43185</v>
      </c>
      <c r="P3" s="227">
        <f>+O3+28</f>
        <v>43213</v>
      </c>
      <c r="Q3" s="227">
        <f t="shared" ref="Q3:Q17" si="0">+P3+R3</f>
        <v>43333</v>
      </c>
      <c r="R3" s="214">
        <v>120</v>
      </c>
      <c r="U3" s="216"/>
      <c r="V3" s="216"/>
    </row>
    <row r="4" spans="1:22" x14ac:dyDescent="0.25">
      <c r="A4" s="213" t="s">
        <v>46</v>
      </c>
      <c r="B4" s="213" t="s">
        <v>44</v>
      </c>
      <c r="C4" s="213" t="s">
        <v>22</v>
      </c>
      <c r="D4" s="190" t="s">
        <v>23</v>
      </c>
      <c r="E4" s="227">
        <v>43372</v>
      </c>
      <c r="F4" s="227">
        <f>+E4+15</f>
        <v>43387</v>
      </c>
      <c r="G4" s="227">
        <f>+F4+2</f>
        <v>43389</v>
      </c>
      <c r="H4" s="227">
        <f>+G4+7</f>
        <v>43396</v>
      </c>
      <c r="I4" s="227">
        <f>+H4+15</f>
        <v>43411</v>
      </c>
      <c r="J4" s="227">
        <f>+I4+45</f>
        <v>43456</v>
      </c>
      <c r="K4" s="227">
        <f>+J4+75</f>
        <v>43531</v>
      </c>
      <c r="L4" s="227">
        <f>+K4+2</f>
        <v>43533</v>
      </c>
      <c r="M4" s="227">
        <f>+L4+7</f>
        <v>43540</v>
      </c>
      <c r="N4" s="227">
        <f>+M4+5</f>
        <v>43545</v>
      </c>
      <c r="O4" s="227">
        <f>+N4+5</f>
        <v>43550</v>
      </c>
      <c r="P4" s="227">
        <f>+O4+28</f>
        <v>43578</v>
      </c>
      <c r="Q4" s="227">
        <f t="shared" si="0"/>
        <v>43698</v>
      </c>
      <c r="R4" s="214">
        <v>120</v>
      </c>
      <c r="U4" s="216"/>
      <c r="V4" s="216"/>
    </row>
    <row r="5" spans="1:22" x14ac:dyDescent="0.25">
      <c r="A5" s="213" t="s">
        <v>47</v>
      </c>
      <c r="B5" s="213" t="s">
        <v>455</v>
      </c>
      <c r="C5" s="213" t="s">
        <v>29</v>
      </c>
      <c r="D5" s="190" t="s">
        <v>27</v>
      </c>
      <c r="E5" s="227">
        <v>42940</v>
      </c>
      <c r="F5" s="227">
        <f>+E5+5</f>
        <v>42945</v>
      </c>
      <c r="G5" s="229" t="s">
        <v>490</v>
      </c>
      <c r="H5" s="229" t="s">
        <v>490</v>
      </c>
      <c r="I5" s="227">
        <f>+F5+2</f>
        <v>42947</v>
      </c>
      <c r="J5" s="227">
        <f>+I5+15</f>
        <v>42962</v>
      </c>
      <c r="K5" s="227">
        <f>+J5+40</f>
        <v>43002</v>
      </c>
      <c r="L5" s="229" t="s">
        <v>490</v>
      </c>
      <c r="M5" s="229" t="s">
        <v>490</v>
      </c>
      <c r="N5" s="227">
        <f>+K5+3</f>
        <v>43005</v>
      </c>
      <c r="O5" s="227">
        <f>+N5+3</f>
        <v>43008</v>
      </c>
      <c r="P5" s="227">
        <f>+O5+15</f>
        <v>43023</v>
      </c>
      <c r="Q5" s="227">
        <f t="shared" si="0"/>
        <v>43083</v>
      </c>
      <c r="R5" s="214">
        <v>60</v>
      </c>
      <c r="U5" s="216"/>
      <c r="V5" s="216"/>
    </row>
    <row r="6" spans="1:22" x14ac:dyDescent="0.25">
      <c r="A6" s="213" t="s">
        <v>48</v>
      </c>
      <c r="B6" s="213" t="s">
        <v>456</v>
      </c>
      <c r="C6" s="213" t="s">
        <v>29</v>
      </c>
      <c r="D6" s="190" t="s">
        <v>27</v>
      </c>
      <c r="E6" s="227">
        <v>43214</v>
      </c>
      <c r="F6" s="227">
        <f>+E6+5</f>
        <v>43219</v>
      </c>
      <c r="G6" s="229" t="s">
        <v>490</v>
      </c>
      <c r="H6" s="229" t="s">
        <v>490</v>
      </c>
      <c r="I6" s="227">
        <f>+F6+2</f>
        <v>43221</v>
      </c>
      <c r="J6" s="227">
        <f>+I6+15</f>
        <v>43236</v>
      </c>
      <c r="K6" s="227">
        <f>+J6+40</f>
        <v>43276</v>
      </c>
      <c r="L6" s="229" t="s">
        <v>490</v>
      </c>
      <c r="M6" s="229" t="s">
        <v>490</v>
      </c>
      <c r="N6" s="227">
        <f>+K6+3</f>
        <v>43279</v>
      </c>
      <c r="O6" s="227">
        <f>+N6+3</f>
        <v>43282</v>
      </c>
      <c r="P6" s="227">
        <f>+O6+15</f>
        <v>43297</v>
      </c>
      <c r="Q6" s="227">
        <f t="shared" si="0"/>
        <v>43357</v>
      </c>
      <c r="R6" s="214">
        <v>60</v>
      </c>
      <c r="U6" s="216"/>
      <c r="V6" s="216"/>
    </row>
    <row r="7" spans="1:22" x14ac:dyDescent="0.25">
      <c r="A7" s="213" t="s">
        <v>49</v>
      </c>
      <c r="B7" s="213" t="s">
        <v>55</v>
      </c>
      <c r="C7" s="213" t="s">
        <v>25</v>
      </c>
      <c r="D7" s="190" t="s">
        <v>27</v>
      </c>
      <c r="E7" s="227">
        <v>42738</v>
      </c>
      <c r="F7" s="227">
        <f t="shared" ref="F7:F9" si="1">+E7+10</f>
        <v>42748</v>
      </c>
      <c r="G7" s="229" t="s">
        <v>490</v>
      </c>
      <c r="H7" s="229" t="s">
        <v>490</v>
      </c>
      <c r="I7" s="227">
        <f t="shared" ref="I7:I9" si="2">+F7+15</f>
        <v>42763</v>
      </c>
      <c r="J7" s="227">
        <f t="shared" ref="J7:J9" si="3">+I7+35</f>
        <v>42798</v>
      </c>
      <c r="K7" s="227">
        <f t="shared" ref="K7:K9" si="4">+J7+60</f>
        <v>42858</v>
      </c>
      <c r="L7" s="229" t="s">
        <v>490</v>
      </c>
      <c r="M7" s="229" t="s">
        <v>490</v>
      </c>
      <c r="N7" s="227">
        <f t="shared" ref="N7:N9" si="5">+K7+5</f>
        <v>42863</v>
      </c>
      <c r="O7" s="227">
        <f t="shared" ref="O7:O9" si="6">+N7+5</f>
        <v>42868</v>
      </c>
      <c r="P7" s="227">
        <f t="shared" ref="P7:P15" si="7">+O7+15</f>
        <v>42883</v>
      </c>
      <c r="Q7" s="227">
        <f t="shared" si="0"/>
        <v>43003</v>
      </c>
      <c r="R7" s="214">
        <v>120</v>
      </c>
      <c r="U7" s="216"/>
      <c r="V7" s="216"/>
    </row>
    <row r="8" spans="1:22" x14ac:dyDescent="0.25">
      <c r="A8" s="213" t="s">
        <v>50</v>
      </c>
      <c r="B8" s="213" t="s">
        <v>56</v>
      </c>
      <c r="C8" s="213" t="s">
        <v>25</v>
      </c>
      <c r="D8" s="190" t="s">
        <v>27</v>
      </c>
      <c r="E8" s="227">
        <v>43054</v>
      </c>
      <c r="F8" s="227">
        <f t="shared" si="1"/>
        <v>43064</v>
      </c>
      <c r="G8" s="229" t="s">
        <v>490</v>
      </c>
      <c r="H8" s="229" t="s">
        <v>490</v>
      </c>
      <c r="I8" s="227">
        <f t="shared" si="2"/>
        <v>43079</v>
      </c>
      <c r="J8" s="227">
        <f t="shared" si="3"/>
        <v>43114</v>
      </c>
      <c r="K8" s="227">
        <f t="shared" si="4"/>
        <v>43174</v>
      </c>
      <c r="L8" s="229" t="s">
        <v>490</v>
      </c>
      <c r="M8" s="229" t="s">
        <v>490</v>
      </c>
      <c r="N8" s="227">
        <f t="shared" si="5"/>
        <v>43179</v>
      </c>
      <c r="O8" s="227">
        <f t="shared" si="6"/>
        <v>43184</v>
      </c>
      <c r="P8" s="227">
        <f t="shared" si="7"/>
        <v>43199</v>
      </c>
      <c r="Q8" s="227">
        <f t="shared" si="0"/>
        <v>43319</v>
      </c>
      <c r="R8" s="214">
        <v>120</v>
      </c>
      <c r="U8" s="216"/>
      <c r="V8" s="216"/>
    </row>
    <row r="9" spans="1:22" x14ac:dyDescent="0.25">
      <c r="A9" s="213" t="s">
        <v>51</v>
      </c>
      <c r="B9" s="213" t="s">
        <v>57</v>
      </c>
      <c r="C9" s="213" t="s">
        <v>25</v>
      </c>
      <c r="D9" s="190" t="s">
        <v>27</v>
      </c>
      <c r="E9" s="227">
        <v>43419</v>
      </c>
      <c r="F9" s="227">
        <f t="shared" si="1"/>
        <v>43429</v>
      </c>
      <c r="G9" s="229" t="s">
        <v>490</v>
      </c>
      <c r="H9" s="229" t="s">
        <v>490</v>
      </c>
      <c r="I9" s="227">
        <f t="shared" si="2"/>
        <v>43444</v>
      </c>
      <c r="J9" s="227">
        <f t="shared" si="3"/>
        <v>43479</v>
      </c>
      <c r="K9" s="227">
        <f t="shared" si="4"/>
        <v>43539</v>
      </c>
      <c r="L9" s="229" t="s">
        <v>490</v>
      </c>
      <c r="M9" s="229" t="s">
        <v>490</v>
      </c>
      <c r="N9" s="227">
        <f t="shared" si="5"/>
        <v>43544</v>
      </c>
      <c r="O9" s="227">
        <f t="shared" si="6"/>
        <v>43549</v>
      </c>
      <c r="P9" s="227">
        <f t="shared" si="7"/>
        <v>43564</v>
      </c>
      <c r="Q9" s="227">
        <f t="shared" si="0"/>
        <v>43684</v>
      </c>
      <c r="R9" s="214">
        <v>120</v>
      </c>
      <c r="U9" s="216"/>
      <c r="V9" s="216"/>
    </row>
    <row r="10" spans="1:22" ht="25.5" x14ac:dyDescent="0.25">
      <c r="A10" s="213" t="s">
        <v>52</v>
      </c>
      <c r="B10" s="188" t="s">
        <v>446</v>
      </c>
      <c r="C10" s="213" t="s">
        <v>29</v>
      </c>
      <c r="D10" s="190" t="s">
        <v>27</v>
      </c>
      <c r="E10" s="227">
        <v>42807</v>
      </c>
      <c r="F10" s="227">
        <f t="shared" ref="F10:F15" si="8">+E10+5</f>
        <v>42812</v>
      </c>
      <c r="G10" s="229" t="s">
        <v>490</v>
      </c>
      <c r="H10" s="229" t="s">
        <v>490</v>
      </c>
      <c r="I10" s="227">
        <f t="shared" ref="I10:I15" si="9">+F10+2</f>
        <v>42814</v>
      </c>
      <c r="J10" s="227">
        <f t="shared" ref="J10:J15" si="10">+I10+15</f>
        <v>42829</v>
      </c>
      <c r="K10" s="227">
        <f t="shared" ref="K10:K15" si="11">+J10+40</f>
        <v>42869</v>
      </c>
      <c r="L10" s="229" t="s">
        <v>490</v>
      </c>
      <c r="M10" s="229" t="s">
        <v>490</v>
      </c>
      <c r="N10" s="227">
        <f t="shared" ref="N10:N15" si="12">+K10+3</f>
        <v>42872</v>
      </c>
      <c r="O10" s="227">
        <f t="shared" ref="O10:O15" si="13">+N10+3</f>
        <v>42875</v>
      </c>
      <c r="P10" s="227">
        <f t="shared" si="7"/>
        <v>42890</v>
      </c>
      <c r="Q10" s="227">
        <f t="shared" si="0"/>
        <v>42950</v>
      </c>
      <c r="R10" s="214">
        <v>60</v>
      </c>
      <c r="U10" s="216"/>
      <c r="V10" s="216"/>
    </row>
    <row r="11" spans="1:22" ht="25.5" x14ac:dyDescent="0.25">
      <c r="A11" s="213" t="s">
        <v>53</v>
      </c>
      <c r="B11" s="188" t="s">
        <v>462</v>
      </c>
      <c r="C11" s="213" t="s">
        <v>29</v>
      </c>
      <c r="D11" s="190" t="s">
        <v>27</v>
      </c>
      <c r="E11" s="227">
        <v>43115</v>
      </c>
      <c r="F11" s="227">
        <f t="shared" si="8"/>
        <v>43120</v>
      </c>
      <c r="G11" s="229" t="s">
        <v>490</v>
      </c>
      <c r="H11" s="229" t="s">
        <v>490</v>
      </c>
      <c r="I11" s="227">
        <f t="shared" si="9"/>
        <v>43122</v>
      </c>
      <c r="J11" s="227">
        <f t="shared" si="10"/>
        <v>43137</v>
      </c>
      <c r="K11" s="227">
        <f t="shared" si="11"/>
        <v>43177</v>
      </c>
      <c r="L11" s="229" t="s">
        <v>490</v>
      </c>
      <c r="M11" s="229" t="s">
        <v>490</v>
      </c>
      <c r="N11" s="227">
        <f t="shared" si="12"/>
        <v>43180</v>
      </c>
      <c r="O11" s="227">
        <f t="shared" si="13"/>
        <v>43183</v>
      </c>
      <c r="P11" s="227">
        <f t="shared" si="7"/>
        <v>43198</v>
      </c>
      <c r="Q11" s="227">
        <f t="shared" si="0"/>
        <v>43258</v>
      </c>
      <c r="R11" s="221">
        <v>60</v>
      </c>
      <c r="U11" s="216"/>
      <c r="V11" s="216"/>
    </row>
    <row r="12" spans="1:22" ht="25.5" x14ac:dyDescent="0.25">
      <c r="A12" s="213" t="s">
        <v>54</v>
      </c>
      <c r="B12" s="188" t="s">
        <v>463</v>
      </c>
      <c r="C12" s="213" t="s">
        <v>29</v>
      </c>
      <c r="D12" s="190" t="s">
        <v>27</v>
      </c>
      <c r="E12" s="227">
        <v>43475</v>
      </c>
      <c r="F12" s="227">
        <f t="shared" si="8"/>
        <v>43480</v>
      </c>
      <c r="G12" s="229" t="s">
        <v>490</v>
      </c>
      <c r="H12" s="229" t="s">
        <v>490</v>
      </c>
      <c r="I12" s="227">
        <f t="shared" si="9"/>
        <v>43482</v>
      </c>
      <c r="J12" s="227">
        <f t="shared" si="10"/>
        <v>43497</v>
      </c>
      <c r="K12" s="227">
        <f t="shared" si="11"/>
        <v>43537</v>
      </c>
      <c r="L12" s="229" t="s">
        <v>490</v>
      </c>
      <c r="M12" s="229" t="s">
        <v>490</v>
      </c>
      <c r="N12" s="227">
        <f t="shared" si="12"/>
        <v>43540</v>
      </c>
      <c r="O12" s="227">
        <f t="shared" si="13"/>
        <v>43543</v>
      </c>
      <c r="P12" s="227">
        <f t="shared" si="7"/>
        <v>43558</v>
      </c>
      <c r="Q12" s="227">
        <f t="shared" si="0"/>
        <v>43618</v>
      </c>
      <c r="R12" s="221">
        <v>60</v>
      </c>
      <c r="U12" s="216"/>
      <c r="V12" s="216"/>
    </row>
    <row r="13" spans="1:22" ht="25.5" x14ac:dyDescent="0.25">
      <c r="A13" s="213" t="s">
        <v>447</v>
      </c>
      <c r="B13" s="188" t="s">
        <v>58</v>
      </c>
      <c r="C13" s="213" t="s">
        <v>29</v>
      </c>
      <c r="D13" s="190" t="s">
        <v>27</v>
      </c>
      <c r="E13" s="227">
        <v>42689</v>
      </c>
      <c r="F13" s="227">
        <f t="shared" si="8"/>
        <v>42694</v>
      </c>
      <c r="G13" s="229" t="s">
        <v>490</v>
      </c>
      <c r="H13" s="229" t="s">
        <v>490</v>
      </c>
      <c r="I13" s="227">
        <f t="shared" si="9"/>
        <v>42696</v>
      </c>
      <c r="J13" s="227">
        <f t="shared" si="10"/>
        <v>42711</v>
      </c>
      <c r="K13" s="227">
        <f t="shared" si="11"/>
        <v>42751</v>
      </c>
      <c r="L13" s="229" t="s">
        <v>490</v>
      </c>
      <c r="M13" s="229" t="s">
        <v>490</v>
      </c>
      <c r="N13" s="227">
        <f t="shared" si="12"/>
        <v>42754</v>
      </c>
      <c r="O13" s="227">
        <f t="shared" si="13"/>
        <v>42757</v>
      </c>
      <c r="P13" s="227">
        <f t="shared" si="7"/>
        <v>42772</v>
      </c>
      <c r="Q13" s="227">
        <f t="shared" si="0"/>
        <v>42892</v>
      </c>
      <c r="R13" s="214">
        <v>120</v>
      </c>
      <c r="U13" s="216"/>
      <c r="V13" s="216"/>
    </row>
    <row r="14" spans="1:22" ht="25.5" x14ac:dyDescent="0.25">
      <c r="A14" s="213" t="s">
        <v>448</v>
      </c>
      <c r="B14" s="188" t="s">
        <v>59</v>
      </c>
      <c r="C14" s="213" t="s">
        <v>29</v>
      </c>
      <c r="D14" s="190" t="s">
        <v>27</v>
      </c>
      <c r="E14" s="227">
        <v>43114</v>
      </c>
      <c r="F14" s="227">
        <f t="shared" si="8"/>
        <v>43119</v>
      </c>
      <c r="G14" s="229" t="s">
        <v>490</v>
      </c>
      <c r="H14" s="229" t="s">
        <v>490</v>
      </c>
      <c r="I14" s="227">
        <f t="shared" si="9"/>
        <v>43121</v>
      </c>
      <c r="J14" s="227">
        <f t="shared" si="10"/>
        <v>43136</v>
      </c>
      <c r="K14" s="227">
        <f t="shared" si="11"/>
        <v>43176</v>
      </c>
      <c r="L14" s="229" t="s">
        <v>490</v>
      </c>
      <c r="M14" s="229" t="s">
        <v>490</v>
      </c>
      <c r="N14" s="227">
        <f t="shared" si="12"/>
        <v>43179</v>
      </c>
      <c r="O14" s="227">
        <f t="shared" si="13"/>
        <v>43182</v>
      </c>
      <c r="P14" s="227">
        <f t="shared" si="7"/>
        <v>43197</v>
      </c>
      <c r="Q14" s="227">
        <f t="shared" si="0"/>
        <v>43317</v>
      </c>
      <c r="R14" s="214">
        <v>120</v>
      </c>
      <c r="U14" s="216"/>
      <c r="V14" s="216"/>
    </row>
    <row r="15" spans="1:22" ht="25.5" x14ac:dyDescent="0.25">
      <c r="A15" s="213" t="s">
        <v>449</v>
      </c>
      <c r="B15" s="188" t="s">
        <v>465</v>
      </c>
      <c r="C15" s="213" t="s">
        <v>29</v>
      </c>
      <c r="D15" s="190" t="s">
        <v>27</v>
      </c>
      <c r="E15" s="227">
        <v>43479</v>
      </c>
      <c r="F15" s="227">
        <f t="shared" si="8"/>
        <v>43484</v>
      </c>
      <c r="G15" s="229" t="s">
        <v>490</v>
      </c>
      <c r="H15" s="229" t="s">
        <v>490</v>
      </c>
      <c r="I15" s="227">
        <f t="shared" si="9"/>
        <v>43486</v>
      </c>
      <c r="J15" s="227">
        <f t="shared" si="10"/>
        <v>43501</v>
      </c>
      <c r="K15" s="227">
        <f t="shared" si="11"/>
        <v>43541</v>
      </c>
      <c r="L15" s="229" t="s">
        <v>490</v>
      </c>
      <c r="M15" s="229" t="s">
        <v>490</v>
      </c>
      <c r="N15" s="227">
        <f t="shared" si="12"/>
        <v>43544</v>
      </c>
      <c r="O15" s="227">
        <f t="shared" si="13"/>
        <v>43547</v>
      </c>
      <c r="P15" s="227">
        <f t="shared" si="7"/>
        <v>43562</v>
      </c>
      <c r="Q15" s="227">
        <f t="shared" si="0"/>
        <v>43682</v>
      </c>
      <c r="R15" s="214">
        <v>120</v>
      </c>
      <c r="U15" s="216"/>
      <c r="V15" s="216"/>
    </row>
    <row r="16" spans="1:22" ht="25.5" x14ac:dyDescent="0.25">
      <c r="A16" s="213" t="s">
        <v>453</v>
      </c>
      <c r="B16" s="188" t="s">
        <v>9</v>
      </c>
      <c r="C16" s="213" t="s">
        <v>25</v>
      </c>
      <c r="D16" s="190" t="s">
        <v>27</v>
      </c>
      <c r="E16" s="227">
        <v>42669</v>
      </c>
      <c r="F16" s="227">
        <f>+E16+10</f>
        <v>42679</v>
      </c>
      <c r="G16" s="229" t="s">
        <v>490</v>
      </c>
      <c r="H16" s="229" t="s">
        <v>490</v>
      </c>
      <c r="I16" s="227">
        <f>+F16+15</f>
        <v>42694</v>
      </c>
      <c r="J16" s="227">
        <f>+I16+35</f>
        <v>42729</v>
      </c>
      <c r="K16" s="227">
        <f>+J16+60</f>
        <v>42789</v>
      </c>
      <c r="L16" s="229" t="s">
        <v>490</v>
      </c>
      <c r="M16" s="229" t="s">
        <v>490</v>
      </c>
      <c r="N16" s="227">
        <f>+K16+5</f>
        <v>42794</v>
      </c>
      <c r="O16" s="227">
        <f>+N16+5</f>
        <v>42799</v>
      </c>
      <c r="P16" s="227">
        <f>+O16+15</f>
        <v>42814</v>
      </c>
      <c r="Q16" s="227">
        <f t="shared" si="0"/>
        <v>43144</v>
      </c>
      <c r="R16" s="214">
        <v>330</v>
      </c>
      <c r="U16" s="216"/>
      <c r="V16" s="216"/>
    </row>
    <row r="17" spans="1:22" ht="25.5" x14ac:dyDescent="0.25">
      <c r="A17" s="213" t="s">
        <v>454</v>
      </c>
      <c r="B17" s="188" t="s">
        <v>10</v>
      </c>
      <c r="C17" s="213" t="s">
        <v>22</v>
      </c>
      <c r="D17" s="190" t="s">
        <v>23</v>
      </c>
      <c r="E17" s="227">
        <v>43103</v>
      </c>
      <c r="F17" s="227">
        <f>+E17+15</f>
        <v>43118</v>
      </c>
      <c r="G17" s="227">
        <f>+F17+2</f>
        <v>43120</v>
      </c>
      <c r="H17" s="227">
        <f>+G17+7</f>
        <v>43127</v>
      </c>
      <c r="I17" s="227">
        <f>+H17+15</f>
        <v>43142</v>
      </c>
      <c r="J17" s="227">
        <f>+I17+45</f>
        <v>43187</v>
      </c>
      <c r="K17" s="227">
        <f>+J17+75</f>
        <v>43262</v>
      </c>
      <c r="L17" s="227">
        <f>+K17+2</f>
        <v>43264</v>
      </c>
      <c r="M17" s="227">
        <f>+L17+7</f>
        <v>43271</v>
      </c>
      <c r="N17" s="227">
        <f>+M17+5</f>
        <v>43276</v>
      </c>
      <c r="O17" s="227">
        <f>+N17+5</f>
        <v>43281</v>
      </c>
      <c r="P17" s="227">
        <f>+O17+28</f>
        <v>43309</v>
      </c>
      <c r="Q17" s="227">
        <f t="shared" si="0"/>
        <v>43639</v>
      </c>
      <c r="R17" s="214">
        <v>330</v>
      </c>
      <c r="U17" s="216"/>
      <c r="V17" s="216"/>
    </row>
  </sheetData>
  <pageMargins left="0.28000000000000003" right="0.21" top="0.74803149606299213" bottom="0.74803149606299213" header="0.31496062992125984" footer="0.31496062992125984"/>
  <pageSetup paperSize="9" scale="67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J1" zoomScaleNormal="100" zoomScaleSheetLayoutView="100" workbookViewId="0">
      <selection activeCell="P20" sqref="P20"/>
    </sheetView>
  </sheetViews>
  <sheetFormatPr defaultColWidth="11.42578125" defaultRowHeight="15" x14ac:dyDescent="0.25"/>
  <cols>
    <col min="2" max="2" width="35.85546875" customWidth="1"/>
    <col min="5" max="5" width="11.85546875" bestFit="1" customWidth="1"/>
    <col min="6" max="8" width="12" bestFit="1" customWidth="1"/>
    <col min="9" max="9" width="11.5703125" bestFit="1" customWidth="1"/>
    <col min="10" max="13" width="12" bestFit="1" customWidth="1"/>
    <col min="14" max="14" width="11.5703125" bestFit="1" customWidth="1"/>
    <col min="23" max="23" width="17.5703125" bestFit="1" customWidth="1"/>
    <col min="24" max="24" width="13" bestFit="1" customWidth="1"/>
    <col min="25" max="25" width="15.5703125" bestFit="1" customWidth="1"/>
    <col min="28" max="28" width="12" bestFit="1" customWidth="1"/>
    <col min="29" max="30" width="11.5703125" bestFit="1" customWidth="1"/>
  </cols>
  <sheetData>
    <row r="1" spans="1:30" ht="48.75" customHeight="1" x14ac:dyDescent="0.25">
      <c r="A1" s="194" t="s">
        <v>13</v>
      </c>
      <c r="B1" s="223" t="s">
        <v>477</v>
      </c>
      <c r="C1" s="230" t="s">
        <v>478</v>
      </c>
      <c r="D1" s="230"/>
      <c r="E1" s="224" t="s">
        <v>493</v>
      </c>
      <c r="F1" s="224" t="s">
        <v>483</v>
      </c>
      <c r="G1" s="224" t="s">
        <v>494</v>
      </c>
      <c r="H1" s="224" t="s">
        <v>495</v>
      </c>
      <c r="I1" s="224" t="s">
        <v>496</v>
      </c>
      <c r="J1" s="224" t="s">
        <v>497</v>
      </c>
      <c r="K1" s="224" t="s">
        <v>498</v>
      </c>
      <c r="L1" s="224" t="s">
        <v>499</v>
      </c>
      <c r="M1" s="224" t="s">
        <v>500</v>
      </c>
      <c r="N1" s="224" t="s">
        <v>501</v>
      </c>
      <c r="O1" s="224" t="s">
        <v>502</v>
      </c>
      <c r="P1" s="224" t="s">
        <v>498</v>
      </c>
      <c r="Q1" s="224" t="s">
        <v>503</v>
      </c>
      <c r="R1" s="224" t="s">
        <v>504</v>
      </c>
      <c r="S1" s="224" t="s">
        <v>505</v>
      </c>
      <c r="T1" s="224" t="s">
        <v>506</v>
      </c>
      <c r="U1" s="224" t="s">
        <v>507</v>
      </c>
      <c r="V1" s="224" t="s">
        <v>488</v>
      </c>
      <c r="W1" s="224" t="s">
        <v>489</v>
      </c>
      <c r="X1" s="224" t="s">
        <v>19</v>
      </c>
      <c r="Y1" s="224" t="s">
        <v>491</v>
      </c>
    </row>
    <row r="2" spans="1:30" ht="25.5" x14ac:dyDescent="0.25">
      <c r="A2" s="210" t="s">
        <v>60</v>
      </c>
      <c r="B2" s="210" t="s">
        <v>468</v>
      </c>
      <c r="C2" s="211" t="s">
        <v>469</v>
      </c>
      <c r="D2" s="210" t="s">
        <v>27</v>
      </c>
      <c r="E2" s="218">
        <v>42781</v>
      </c>
      <c r="F2" s="231">
        <f t="shared" ref="F2:G5" si="0">+E2+15</f>
        <v>42796</v>
      </c>
      <c r="G2" s="231">
        <f t="shared" si="0"/>
        <v>42811</v>
      </c>
      <c r="H2" s="231">
        <f>+G2+7</f>
        <v>42818</v>
      </c>
      <c r="I2" s="229" t="s">
        <v>490</v>
      </c>
      <c r="J2" s="229" t="s">
        <v>490</v>
      </c>
      <c r="K2" s="231">
        <f>+H2+2</f>
        <v>42820</v>
      </c>
      <c r="L2" s="231">
        <f>+K2+30</f>
        <v>42850</v>
      </c>
      <c r="M2" s="231">
        <f>+L2+65</f>
        <v>42915</v>
      </c>
      <c r="N2" s="229" t="s">
        <v>490</v>
      </c>
      <c r="O2" s="229" t="s">
        <v>490</v>
      </c>
      <c r="P2" s="231">
        <f>+M2+2</f>
        <v>42917</v>
      </c>
      <c r="Q2" s="231">
        <f t="shared" ref="Q2:Q8" si="1">+P2+7</f>
        <v>42924</v>
      </c>
      <c r="R2" s="229" t="s">
        <v>490</v>
      </c>
      <c r="S2" s="231">
        <f>+Q2+15</f>
        <v>42939</v>
      </c>
      <c r="T2" s="229" t="s">
        <v>490</v>
      </c>
      <c r="U2" s="229" t="s">
        <v>490</v>
      </c>
      <c r="V2" s="231">
        <f>+S2+3</f>
        <v>42942</v>
      </c>
      <c r="W2" s="231">
        <f>+V2+3</f>
        <v>42945</v>
      </c>
      <c r="X2" s="231">
        <f>+W2+15</f>
        <v>42960</v>
      </c>
      <c r="Y2" s="231">
        <f>+X2+Z2</f>
        <v>43050</v>
      </c>
      <c r="Z2" s="1">
        <v>90</v>
      </c>
      <c r="AA2" s="226"/>
      <c r="AB2" s="226"/>
      <c r="AC2" s="233"/>
      <c r="AD2" s="233"/>
    </row>
    <row r="3" spans="1:30" ht="25.5" x14ac:dyDescent="0.25">
      <c r="A3" s="210" t="s">
        <v>61</v>
      </c>
      <c r="B3" s="210" t="s">
        <v>1</v>
      </c>
      <c r="C3" s="211" t="s">
        <v>469</v>
      </c>
      <c r="D3" s="210" t="s">
        <v>27</v>
      </c>
      <c r="E3" s="218">
        <v>42784</v>
      </c>
      <c r="F3" s="231">
        <f t="shared" si="0"/>
        <v>42799</v>
      </c>
      <c r="G3" s="231">
        <f t="shared" si="0"/>
        <v>42814</v>
      </c>
      <c r="H3" s="231">
        <f>+G3+7</f>
        <v>42821</v>
      </c>
      <c r="I3" s="229" t="s">
        <v>490</v>
      </c>
      <c r="J3" s="229" t="s">
        <v>490</v>
      </c>
      <c r="K3" s="231">
        <f>+H3+2</f>
        <v>42823</v>
      </c>
      <c r="L3" s="231">
        <f>+K3+30</f>
        <v>42853</v>
      </c>
      <c r="M3" s="231">
        <f>+L3+65</f>
        <v>42918</v>
      </c>
      <c r="N3" s="229" t="s">
        <v>490</v>
      </c>
      <c r="O3" s="229" t="s">
        <v>490</v>
      </c>
      <c r="P3" s="231">
        <f>+M3+2</f>
        <v>42920</v>
      </c>
      <c r="Q3" s="231">
        <f t="shared" si="1"/>
        <v>42927</v>
      </c>
      <c r="R3" s="229" t="s">
        <v>490</v>
      </c>
      <c r="S3" s="231">
        <f>+Q3+15</f>
        <v>42942</v>
      </c>
      <c r="T3" s="229" t="s">
        <v>490</v>
      </c>
      <c r="U3" s="229" t="s">
        <v>490</v>
      </c>
      <c r="V3" s="231">
        <f>+S3+3</f>
        <v>42945</v>
      </c>
      <c r="W3" s="231">
        <f>+V3+3</f>
        <v>42948</v>
      </c>
      <c r="X3" s="231">
        <f>+W3+15</f>
        <v>42963</v>
      </c>
      <c r="Y3" s="231">
        <f t="shared" ref="Y3:Y11" si="2">+X3+Z3</f>
        <v>43173</v>
      </c>
      <c r="Z3" s="1">
        <v>210</v>
      </c>
      <c r="AA3" s="226"/>
      <c r="AB3" s="226"/>
      <c r="AC3" s="233"/>
      <c r="AD3" s="233"/>
    </row>
    <row r="4" spans="1:30" ht="25.5" x14ac:dyDescent="0.25">
      <c r="A4" s="210" t="s">
        <v>62</v>
      </c>
      <c r="B4" s="210" t="s">
        <v>457</v>
      </c>
      <c r="C4" s="211" t="s">
        <v>70</v>
      </c>
      <c r="D4" s="210" t="s">
        <v>27</v>
      </c>
      <c r="E4" s="218">
        <v>42701</v>
      </c>
      <c r="F4" s="231">
        <f t="shared" si="0"/>
        <v>42716</v>
      </c>
      <c r="G4" s="231">
        <f t="shared" si="0"/>
        <v>42731</v>
      </c>
      <c r="H4" s="231">
        <f>+G4+15</f>
        <v>42746</v>
      </c>
      <c r="I4" s="229" t="s">
        <v>490</v>
      </c>
      <c r="J4" s="229" t="s">
        <v>490</v>
      </c>
      <c r="K4" s="231">
        <f>+H4+2</f>
        <v>42748</v>
      </c>
      <c r="L4" s="231">
        <f>+K4+30</f>
        <v>42778</v>
      </c>
      <c r="M4" s="231">
        <f>+L4+55</f>
        <v>42833</v>
      </c>
      <c r="N4" s="229" t="s">
        <v>490</v>
      </c>
      <c r="O4" s="229" t="s">
        <v>490</v>
      </c>
      <c r="P4" s="231">
        <f>+M4+2</f>
        <v>42835</v>
      </c>
      <c r="Q4" s="231">
        <f t="shared" si="1"/>
        <v>42842</v>
      </c>
      <c r="R4" s="231">
        <f>+Q4+10</f>
        <v>42852</v>
      </c>
      <c r="S4" s="231">
        <f>+R4+15</f>
        <v>42867</v>
      </c>
      <c r="T4" s="229" t="s">
        <v>490</v>
      </c>
      <c r="U4" s="229" t="s">
        <v>490</v>
      </c>
      <c r="V4" s="231">
        <f>+S4+5</f>
        <v>42872</v>
      </c>
      <c r="W4" s="231">
        <f>+V4+5</f>
        <v>42877</v>
      </c>
      <c r="X4" s="231">
        <f>+W4+21</f>
        <v>42898</v>
      </c>
      <c r="Y4" s="231">
        <f t="shared" si="2"/>
        <v>42988</v>
      </c>
      <c r="Z4" s="1">
        <v>90</v>
      </c>
      <c r="AA4" s="226"/>
      <c r="AB4" s="226"/>
      <c r="AC4" s="233"/>
      <c r="AD4" s="233"/>
    </row>
    <row r="5" spans="1:30" ht="38.25" x14ac:dyDescent="0.25">
      <c r="A5" s="210" t="s">
        <v>63</v>
      </c>
      <c r="B5" s="210" t="s">
        <v>458</v>
      </c>
      <c r="C5" s="211" t="s">
        <v>70</v>
      </c>
      <c r="D5" s="210" t="s">
        <v>27</v>
      </c>
      <c r="E5" s="218">
        <v>42793</v>
      </c>
      <c r="F5" s="231">
        <f t="shared" si="0"/>
        <v>42808</v>
      </c>
      <c r="G5" s="231">
        <f t="shared" si="0"/>
        <v>42823</v>
      </c>
      <c r="H5" s="231">
        <f>+G5+15</f>
        <v>42838</v>
      </c>
      <c r="I5" s="229" t="s">
        <v>490</v>
      </c>
      <c r="J5" s="229" t="s">
        <v>490</v>
      </c>
      <c r="K5" s="231">
        <f>+H5+2</f>
        <v>42840</v>
      </c>
      <c r="L5" s="231">
        <f>+K5+30</f>
        <v>42870</v>
      </c>
      <c r="M5" s="231">
        <f>+L5+55</f>
        <v>42925</v>
      </c>
      <c r="N5" s="229" t="s">
        <v>490</v>
      </c>
      <c r="O5" s="229" t="s">
        <v>490</v>
      </c>
      <c r="P5" s="231">
        <f>+M5+2</f>
        <v>42927</v>
      </c>
      <c r="Q5" s="231">
        <f t="shared" si="1"/>
        <v>42934</v>
      </c>
      <c r="R5" s="231">
        <f>+Q5+10</f>
        <v>42944</v>
      </c>
      <c r="S5" s="231">
        <f>+R5+15</f>
        <v>42959</v>
      </c>
      <c r="T5" s="229" t="s">
        <v>490</v>
      </c>
      <c r="U5" s="229" t="s">
        <v>490</v>
      </c>
      <c r="V5" s="231">
        <f>+S5+5</f>
        <v>42964</v>
      </c>
      <c r="W5" s="231">
        <f>+V5+5</f>
        <v>42969</v>
      </c>
      <c r="X5" s="231">
        <f>+W5+21</f>
        <v>42990</v>
      </c>
      <c r="Y5" s="231">
        <f t="shared" si="2"/>
        <v>43080</v>
      </c>
      <c r="Z5" s="1">
        <v>90</v>
      </c>
      <c r="AA5" s="226"/>
      <c r="AB5" s="226"/>
      <c r="AC5" s="233"/>
      <c r="AD5" s="233"/>
    </row>
    <row r="6" spans="1:30" ht="27.6" x14ac:dyDescent="0.3">
      <c r="A6" s="210" t="s">
        <v>64</v>
      </c>
      <c r="B6" s="210" t="s">
        <v>2</v>
      </c>
      <c r="C6" s="211" t="s">
        <v>470</v>
      </c>
      <c r="D6" s="210" t="s">
        <v>23</v>
      </c>
      <c r="E6" s="218">
        <v>42824</v>
      </c>
      <c r="F6" s="229" t="s">
        <v>490</v>
      </c>
      <c r="G6" s="229" t="s">
        <v>490</v>
      </c>
      <c r="H6" s="231">
        <f>+E6+7</f>
        <v>42831</v>
      </c>
      <c r="I6" s="231">
        <f>+H6+3</f>
        <v>42834</v>
      </c>
      <c r="J6" s="231">
        <f>+I6+15</f>
        <v>42849</v>
      </c>
      <c r="K6" s="231">
        <f>+J6+2</f>
        <v>42851</v>
      </c>
      <c r="L6" s="232">
        <f>+K6+15</f>
        <v>42866</v>
      </c>
      <c r="M6" s="229" t="s">
        <v>490</v>
      </c>
      <c r="N6" s="229" t="s">
        <v>490</v>
      </c>
      <c r="O6" s="229" t="s">
        <v>490</v>
      </c>
      <c r="P6" s="231">
        <f>+L6+2</f>
        <v>42868</v>
      </c>
      <c r="Q6" s="232">
        <f t="shared" si="1"/>
        <v>42875</v>
      </c>
      <c r="R6" s="229" t="s">
        <v>490</v>
      </c>
      <c r="S6" s="231">
        <f>+Q6+7</f>
        <v>42882</v>
      </c>
      <c r="T6" s="231">
        <f>+S6+3</f>
        <v>42885</v>
      </c>
      <c r="U6" s="231">
        <f>+T6+8</f>
        <v>42893</v>
      </c>
      <c r="V6" s="231">
        <f>+U6+3</f>
        <v>42896</v>
      </c>
      <c r="W6" s="231">
        <f>+V6+3</f>
        <v>42899</v>
      </c>
      <c r="X6" s="231">
        <f>+W6+15</f>
        <v>42914</v>
      </c>
      <c r="Y6" s="231">
        <f t="shared" si="2"/>
        <v>43094</v>
      </c>
      <c r="Z6" s="1">
        <v>180</v>
      </c>
      <c r="AA6" s="226"/>
      <c r="AB6" s="226"/>
      <c r="AC6" s="233"/>
      <c r="AD6" s="233"/>
    </row>
    <row r="7" spans="1:30" x14ac:dyDescent="0.25">
      <c r="A7" s="210" t="s">
        <v>65</v>
      </c>
      <c r="B7" s="210" t="s">
        <v>471</v>
      </c>
      <c r="C7" s="211" t="s">
        <v>70</v>
      </c>
      <c r="D7" s="210" t="s">
        <v>27</v>
      </c>
      <c r="E7" s="218">
        <v>43008</v>
      </c>
      <c r="F7" s="231">
        <f t="shared" ref="F7:H8" si="3">+E7+15</f>
        <v>43023</v>
      </c>
      <c r="G7" s="231">
        <f t="shared" si="3"/>
        <v>43038</v>
      </c>
      <c r="H7" s="231">
        <f t="shared" si="3"/>
        <v>43053</v>
      </c>
      <c r="I7" s="229" t="s">
        <v>490</v>
      </c>
      <c r="J7" s="229" t="s">
        <v>490</v>
      </c>
      <c r="K7" s="231">
        <f>+H7+2</f>
        <v>43055</v>
      </c>
      <c r="L7" s="231">
        <f t="shared" ref="L7:L12" si="4">+K7+30</f>
        <v>43085</v>
      </c>
      <c r="M7" s="231">
        <f>+L7+55</f>
        <v>43140</v>
      </c>
      <c r="N7" s="229" t="s">
        <v>490</v>
      </c>
      <c r="O7" s="229" t="s">
        <v>490</v>
      </c>
      <c r="P7" s="231">
        <f>+M7+2</f>
        <v>43142</v>
      </c>
      <c r="Q7" s="231">
        <f t="shared" si="1"/>
        <v>43149</v>
      </c>
      <c r="R7" s="231">
        <f>+Q7+10</f>
        <v>43159</v>
      </c>
      <c r="S7" s="231">
        <f t="shared" ref="S7:S12" si="5">+R7+15</f>
        <v>43174</v>
      </c>
      <c r="T7" s="229" t="s">
        <v>490</v>
      </c>
      <c r="U7" s="229" t="s">
        <v>490</v>
      </c>
      <c r="V7" s="231">
        <f>+S7+5</f>
        <v>43179</v>
      </c>
      <c r="W7" s="231">
        <f t="shared" ref="W7:W12" si="6">+V7+5</f>
        <v>43184</v>
      </c>
      <c r="X7" s="231">
        <f>+W7+21</f>
        <v>43205</v>
      </c>
      <c r="Y7" s="231">
        <f t="shared" si="2"/>
        <v>43295</v>
      </c>
      <c r="Z7" s="1">
        <v>90</v>
      </c>
      <c r="AA7" s="226"/>
      <c r="AB7" s="226"/>
      <c r="AC7" s="233"/>
      <c r="AD7" s="233"/>
    </row>
    <row r="8" spans="1:30" x14ac:dyDescent="0.25">
      <c r="A8" s="210" t="s">
        <v>66</v>
      </c>
      <c r="B8" s="210" t="s">
        <v>472</v>
      </c>
      <c r="C8" s="211" t="s">
        <v>70</v>
      </c>
      <c r="D8" s="210" t="s">
        <v>27</v>
      </c>
      <c r="E8" s="218">
        <v>43404</v>
      </c>
      <c r="F8" s="231">
        <f t="shared" si="3"/>
        <v>43419</v>
      </c>
      <c r="G8" s="231">
        <f t="shared" si="3"/>
        <v>43434</v>
      </c>
      <c r="H8" s="231">
        <f t="shared" si="3"/>
        <v>43449</v>
      </c>
      <c r="I8" s="229" t="s">
        <v>490</v>
      </c>
      <c r="J8" s="229" t="s">
        <v>490</v>
      </c>
      <c r="K8" s="231">
        <f>+H8+2</f>
        <v>43451</v>
      </c>
      <c r="L8" s="231">
        <f t="shared" si="4"/>
        <v>43481</v>
      </c>
      <c r="M8" s="231">
        <f>+L8+55</f>
        <v>43536</v>
      </c>
      <c r="N8" s="229" t="s">
        <v>490</v>
      </c>
      <c r="O8" s="229" t="s">
        <v>490</v>
      </c>
      <c r="P8" s="231">
        <f>+M8+2</f>
        <v>43538</v>
      </c>
      <c r="Q8" s="231">
        <f t="shared" si="1"/>
        <v>43545</v>
      </c>
      <c r="R8" s="231">
        <f>+Q8+10</f>
        <v>43555</v>
      </c>
      <c r="S8" s="231">
        <f t="shared" si="5"/>
        <v>43570</v>
      </c>
      <c r="T8" s="229" t="s">
        <v>490</v>
      </c>
      <c r="U8" s="229" t="s">
        <v>490</v>
      </c>
      <c r="V8" s="231">
        <f>+S8+5</f>
        <v>43575</v>
      </c>
      <c r="W8" s="231">
        <f t="shared" si="6"/>
        <v>43580</v>
      </c>
      <c r="X8" s="231">
        <f>+W8+21</f>
        <v>43601</v>
      </c>
      <c r="Y8" s="231">
        <f t="shared" si="2"/>
        <v>43691</v>
      </c>
      <c r="Z8" s="1">
        <v>90</v>
      </c>
      <c r="AA8" s="226"/>
      <c r="AB8" s="226"/>
      <c r="AC8" s="233"/>
      <c r="AD8" s="233"/>
    </row>
    <row r="9" spans="1:30" x14ac:dyDescent="0.25">
      <c r="A9" s="210" t="s">
        <v>67</v>
      </c>
      <c r="B9" s="210" t="s">
        <v>473</v>
      </c>
      <c r="C9" s="211" t="s">
        <v>70</v>
      </c>
      <c r="D9" s="210" t="s">
        <v>23</v>
      </c>
      <c r="E9" s="218">
        <v>42750</v>
      </c>
      <c r="F9" s="231">
        <f>+E9+15</f>
        <v>42765</v>
      </c>
      <c r="G9" s="231">
        <f>+F9+30</f>
        <v>42795</v>
      </c>
      <c r="H9" s="231">
        <f>+G9+15</f>
        <v>42810</v>
      </c>
      <c r="I9" s="231">
        <f>+H9+2</f>
        <v>42812</v>
      </c>
      <c r="J9" s="231">
        <f>+I9+7</f>
        <v>42819</v>
      </c>
      <c r="K9" s="231">
        <f>+J9+3</f>
        <v>42822</v>
      </c>
      <c r="L9" s="231">
        <f t="shared" si="4"/>
        <v>42852</v>
      </c>
      <c r="M9" s="231">
        <f>+L9+20</f>
        <v>42872</v>
      </c>
      <c r="N9" s="231">
        <f>+M9+2</f>
        <v>42874</v>
      </c>
      <c r="O9" s="231">
        <f>+N9+7</f>
        <v>42881</v>
      </c>
      <c r="P9" s="231">
        <f>+O9+2</f>
        <v>42883</v>
      </c>
      <c r="Q9" s="231">
        <f>+P9+15</f>
        <v>42898</v>
      </c>
      <c r="R9" s="231">
        <f>+Q9+15</f>
        <v>42913</v>
      </c>
      <c r="S9" s="231">
        <f t="shared" si="5"/>
        <v>42928</v>
      </c>
      <c r="T9" s="231">
        <f>+S9+2</f>
        <v>42930</v>
      </c>
      <c r="U9" s="231">
        <f>+T9+7</f>
        <v>42937</v>
      </c>
      <c r="V9" s="231">
        <f>+U9+5</f>
        <v>42942</v>
      </c>
      <c r="W9" s="231">
        <f t="shared" si="6"/>
        <v>42947</v>
      </c>
      <c r="X9" s="231">
        <f>+W9+28</f>
        <v>42975</v>
      </c>
      <c r="Y9" s="231">
        <v>43875</v>
      </c>
      <c r="Z9" s="1"/>
      <c r="AA9" s="226"/>
      <c r="AB9" s="226"/>
      <c r="AC9" s="233"/>
      <c r="AD9" s="233"/>
    </row>
    <row r="10" spans="1:30" ht="38.25" x14ac:dyDescent="0.25">
      <c r="A10" s="210" t="s">
        <v>68</v>
      </c>
      <c r="B10" s="210" t="s">
        <v>451</v>
      </c>
      <c r="C10" s="211" t="s">
        <v>70</v>
      </c>
      <c r="D10" s="210" t="s">
        <v>27</v>
      </c>
      <c r="E10" s="218">
        <v>42698</v>
      </c>
      <c r="F10" s="231">
        <f>+E10+15</f>
        <v>42713</v>
      </c>
      <c r="G10" s="231">
        <f>+F10+15</f>
        <v>42728</v>
      </c>
      <c r="H10" s="231">
        <f>+G10+15</f>
        <v>42743</v>
      </c>
      <c r="I10" s="229" t="s">
        <v>490</v>
      </c>
      <c r="J10" s="229" t="s">
        <v>490</v>
      </c>
      <c r="K10" s="231">
        <f>+H10+2</f>
        <v>42745</v>
      </c>
      <c r="L10" s="231">
        <f t="shared" si="4"/>
        <v>42775</v>
      </c>
      <c r="M10" s="231">
        <f>+L10+55</f>
        <v>42830</v>
      </c>
      <c r="N10" s="229" t="s">
        <v>490</v>
      </c>
      <c r="O10" s="229" t="s">
        <v>490</v>
      </c>
      <c r="P10" s="231">
        <f>+M10+2</f>
        <v>42832</v>
      </c>
      <c r="Q10" s="231">
        <f>+P10+7</f>
        <v>42839</v>
      </c>
      <c r="R10" s="231">
        <f>+Q10+10</f>
        <v>42849</v>
      </c>
      <c r="S10" s="231">
        <f t="shared" si="5"/>
        <v>42864</v>
      </c>
      <c r="T10" s="229" t="s">
        <v>490</v>
      </c>
      <c r="U10" s="229" t="s">
        <v>490</v>
      </c>
      <c r="V10" s="231">
        <f>+S10+5</f>
        <v>42869</v>
      </c>
      <c r="W10" s="231">
        <f t="shared" si="6"/>
        <v>42874</v>
      </c>
      <c r="X10" s="231">
        <f>+W10+21</f>
        <v>42895</v>
      </c>
      <c r="Y10" s="231">
        <f t="shared" si="2"/>
        <v>42985</v>
      </c>
      <c r="Z10" s="1">
        <v>90</v>
      </c>
      <c r="AA10" s="226"/>
      <c r="AB10" s="226"/>
      <c r="AC10" s="233"/>
      <c r="AD10" s="233"/>
    </row>
    <row r="11" spans="1:30" ht="51" x14ac:dyDescent="0.25">
      <c r="A11" s="210" t="s">
        <v>69</v>
      </c>
      <c r="B11" s="210" t="s">
        <v>452</v>
      </c>
      <c r="C11" s="211" t="s">
        <v>70</v>
      </c>
      <c r="D11" s="210" t="s">
        <v>27</v>
      </c>
      <c r="E11" s="218">
        <v>43327</v>
      </c>
      <c r="F11" s="231">
        <f>+E11+15</f>
        <v>43342</v>
      </c>
      <c r="G11" s="231">
        <f>+F11+15</f>
        <v>43357</v>
      </c>
      <c r="H11" s="231">
        <f>+G11+15</f>
        <v>43372</v>
      </c>
      <c r="I11" s="229" t="s">
        <v>490</v>
      </c>
      <c r="J11" s="229" t="s">
        <v>490</v>
      </c>
      <c r="K11" s="231">
        <f>+H11+2</f>
        <v>43374</v>
      </c>
      <c r="L11" s="231">
        <f t="shared" si="4"/>
        <v>43404</v>
      </c>
      <c r="M11" s="231">
        <f>+L11+55</f>
        <v>43459</v>
      </c>
      <c r="N11" s="229" t="s">
        <v>490</v>
      </c>
      <c r="O11" s="229" t="s">
        <v>490</v>
      </c>
      <c r="P11" s="231">
        <f>+M11+2</f>
        <v>43461</v>
      </c>
      <c r="Q11" s="231">
        <f>+P11+7</f>
        <v>43468</v>
      </c>
      <c r="R11" s="231">
        <f>+Q11+10</f>
        <v>43478</v>
      </c>
      <c r="S11" s="231">
        <f t="shared" si="5"/>
        <v>43493</v>
      </c>
      <c r="T11" s="229" t="s">
        <v>490</v>
      </c>
      <c r="U11" s="229" t="s">
        <v>490</v>
      </c>
      <c r="V11" s="231">
        <f>+S11+5</f>
        <v>43498</v>
      </c>
      <c r="W11" s="231">
        <f t="shared" si="6"/>
        <v>43503</v>
      </c>
      <c r="X11" s="231">
        <f>+W11+21</f>
        <v>43524</v>
      </c>
      <c r="Y11" s="231">
        <f t="shared" si="2"/>
        <v>43734</v>
      </c>
      <c r="Z11" s="1">
        <v>210</v>
      </c>
      <c r="AA11" s="226"/>
      <c r="AB11" s="226"/>
      <c r="AC11" s="233"/>
      <c r="AD11" s="233"/>
    </row>
    <row r="12" spans="1:30" x14ac:dyDescent="0.25">
      <c r="A12" s="210" t="s">
        <v>450</v>
      </c>
      <c r="B12" s="210" t="s">
        <v>466</v>
      </c>
      <c r="C12" s="211" t="s">
        <v>70</v>
      </c>
      <c r="D12" s="210" t="s">
        <v>23</v>
      </c>
      <c r="E12" s="218">
        <v>42880</v>
      </c>
      <c r="F12" s="231">
        <f>+E12+15</f>
        <v>42895</v>
      </c>
      <c r="G12" s="231">
        <f>+F12+30</f>
        <v>42925</v>
      </c>
      <c r="H12" s="231">
        <f>+G12+15</f>
        <v>42940</v>
      </c>
      <c r="I12" s="231">
        <f>+H12+2</f>
        <v>42942</v>
      </c>
      <c r="J12" s="231">
        <f>+I12+7</f>
        <v>42949</v>
      </c>
      <c r="K12" s="231">
        <f>+J12+3</f>
        <v>42952</v>
      </c>
      <c r="L12" s="231">
        <f t="shared" si="4"/>
        <v>42982</v>
      </c>
      <c r="M12" s="231">
        <f>+L12+20</f>
        <v>43002</v>
      </c>
      <c r="N12" s="231">
        <f>+M12+2</f>
        <v>43004</v>
      </c>
      <c r="O12" s="231">
        <f>+N12+7</f>
        <v>43011</v>
      </c>
      <c r="P12" s="231">
        <f>+O12+2</f>
        <v>43013</v>
      </c>
      <c r="Q12" s="231">
        <f>+P12+15</f>
        <v>43028</v>
      </c>
      <c r="R12" s="231">
        <f>+Q12+15</f>
        <v>43043</v>
      </c>
      <c r="S12" s="231">
        <f t="shared" si="5"/>
        <v>43058</v>
      </c>
      <c r="T12" s="231">
        <f>+S12+2</f>
        <v>43060</v>
      </c>
      <c r="U12" s="231">
        <f>+T12+7</f>
        <v>43067</v>
      </c>
      <c r="V12" s="231">
        <f>+U12+5</f>
        <v>43072</v>
      </c>
      <c r="W12" s="231">
        <f t="shared" si="6"/>
        <v>43077</v>
      </c>
      <c r="X12" s="231">
        <f>+W12+28</f>
        <v>43105</v>
      </c>
      <c r="Y12" s="231">
        <v>43856</v>
      </c>
      <c r="AA12" s="226"/>
      <c r="AB12" s="226"/>
      <c r="AC12" s="233"/>
      <c r="AD12" s="233"/>
    </row>
  </sheetData>
  <pageMargins left="0.2" right="0.19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8906EEB8136F74FA146255C7A556015" ma:contentTypeVersion="0" ma:contentTypeDescription="A content type to manage public (operations) IDB documents" ma:contentTypeScope="" ma:versionID="6d5525b9b9db585d191aeea75534aed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40419955</IDBDocs_x0020_Number>
    <Document_x0020_Author xmlns="9c571b2f-e523-4ab2-ba2e-09e151a03ef4">Sanchez, Mario Alberto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2</Value>
      <Value>4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AR-L1196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Proposal&lt;/USER_STAGE&gt;&lt;PD_OBJ_TYPE&gt;0&lt;/PD_OBJ_TYPE&gt;&lt;DTAPPROVAL&gt;Oct 19 2016 12:00AM&lt;/DTAPPROVAL&gt;&lt;MAKERECORD&gt;N&lt;/MAKERECORD&gt;&lt;/Data&gt;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PR-4426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1C749155-9AC9-4359-9AFD-38C18579CAB9}"/>
</file>

<file path=customXml/itemProps2.xml><?xml version="1.0" encoding="utf-8"?>
<ds:datastoreItem xmlns:ds="http://schemas.openxmlformats.org/officeDocument/2006/customXml" ds:itemID="{BEB000B8-C348-43C5-9405-BE525B77739E}"/>
</file>

<file path=customXml/itemProps3.xml><?xml version="1.0" encoding="utf-8"?>
<ds:datastoreItem xmlns:ds="http://schemas.openxmlformats.org/officeDocument/2006/customXml" ds:itemID="{4AC8DBA2-F532-4B2F-A148-91EA08B87D44}"/>
</file>

<file path=customXml/itemProps4.xml><?xml version="1.0" encoding="utf-8"?>
<ds:datastoreItem xmlns:ds="http://schemas.openxmlformats.org/officeDocument/2006/customXml" ds:itemID="{A926B9C1-8CA1-4427-9628-32DC0840E48A}"/>
</file>

<file path=customXml/itemProps5.xml><?xml version="1.0" encoding="utf-8"?>
<ds:datastoreItem xmlns:ds="http://schemas.openxmlformats.org/officeDocument/2006/customXml" ds:itemID="{13CD3732-66D6-4F7D-B7F4-46E0990EA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Bienes</vt:lpstr>
      <vt:lpstr>Servicios</vt:lpstr>
      <vt:lpstr>Consultoria Firma</vt:lpstr>
      <vt:lpstr>Matriz</vt:lpstr>
      <vt:lpstr>Bienes con fechas</vt:lpstr>
      <vt:lpstr>servicios con fechas</vt:lpstr>
      <vt:lpstr>consultorias firmas con fechas</vt:lpstr>
      <vt:lpstr>Bienes!Print_Area</vt:lpstr>
      <vt:lpstr>'Bienes con fechas'!Print_Area</vt:lpstr>
      <vt:lpstr>'Consultoria Firma'!Print_Area</vt:lpstr>
      <vt:lpstr>'consultorias firmas con fechas'!Print_Area</vt:lpstr>
      <vt:lpstr>'servicios con fechas'!Print_Area</vt:lpstr>
      <vt:lpstr>Matriz!Print_Titles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- Plan de Adquisiciones</dc:title>
  <dc:creator>nortelli</dc:creator>
  <cp:lastModifiedBy>Inter-American Development Bank</cp:lastModifiedBy>
  <cp:lastPrinted>2016-07-25T14:37:01Z</cp:lastPrinted>
  <dcterms:created xsi:type="dcterms:W3CDTF">2016-06-29T18:53:36Z</dcterms:created>
  <dcterms:modified xsi:type="dcterms:W3CDTF">2016-09-01T16:39:44Z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0x01010046CF21643EE8D14686A648AA6DAD08920008906EEB8136F74FA146255C7A556015</vt:lpwstr>
  </property>
  <property fmtid="{D5CDD505-2E9C-101B-9397-08002B2CF9AE}" pid="5" name="TaxKeywordTaxHTField">
    <vt:lpwstr/>
  </property>
  <property fmtid="{D5CDD505-2E9C-101B-9397-08002B2CF9AE}" pid="6" name="Series Operations IDB">
    <vt:lpwstr>2;#Unclassified|a6dff32e-d477-44cd-a56b-85efe9e0a56c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2;#Unclassified|a6dff32e-d477-44cd-a56b-85efe9e0a56c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