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6" windowHeight="7752" tabRatio="774"/>
  </bookViews>
  <sheets>
    <sheet name="Resumen" sheetId="8" r:id="rId1"/>
    <sheet name="Componentes" sheetId="1" r:id="rId2"/>
    <sheet name="Administración_ME_Auditoria" sheetId="4" r:id="rId3"/>
    <sheet name="Costos RRHH" sheetId="10" r:id="rId4"/>
  </sheets>
  <calcPr calcId="152511"/>
</workbook>
</file>

<file path=xl/calcChain.xml><?xml version="1.0" encoding="utf-8"?>
<calcChain xmlns="http://schemas.openxmlformats.org/spreadsheetml/2006/main">
  <c r="Y25" i="1" l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C25" i="1" l="1"/>
  <c r="C26" i="1"/>
  <c r="D26" i="1"/>
  <c r="F27" i="8" l="1"/>
  <c r="E27" i="8"/>
  <c r="F25" i="8"/>
  <c r="E25" i="8"/>
  <c r="D27" i="8"/>
  <c r="D25" i="8"/>
  <c r="G29" i="8" l="1"/>
  <c r="O47" i="1"/>
  <c r="G44" i="1"/>
  <c r="G71" i="1"/>
  <c r="O40" i="1"/>
  <c r="K40" i="1"/>
  <c r="I37" i="1"/>
  <c r="Q45" i="1"/>
  <c r="M45" i="1"/>
  <c r="M44" i="1"/>
  <c r="R35" i="1"/>
  <c r="O45" i="1"/>
  <c r="K44" i="1"/>
  <c r="T50" i="1"/>
  <c r="R50" i="1"/>
  <c r="P50" i="1"/>
  <c r="N50" i="1"/>
  <c r="N34" i="1"/>
  <c r="L34" i="1"/>
  <c r="J34" i="1"/>
  <c r="H39" i="1" l="1"/>
  <c r="V13" i="1" l="1"/>
  <c r="T13" i="1"/>
  <c r="R13" i="1"/>
  <c r="P13" i="1"/>
  <c r="N13" i="1"/>
  <c r="L13" i="1"/>
  <c r="J13" i="1"/>
  <c r="V14" i="1"/>
  <c r="T14" i="1"/>
  <c r="R14" i="1"/>
  <c r="P14" i="1"/>
  <c r="N14" i="1"/>
  <c r="L14" i="1"/>
  <c r="J14" i="1"/>
  <c r="V18" i="1"/>
  <c r="T18" i="1"/>
  <c r="R18" i="1"/>
  <c r="P18" i="1"/>
  <c r="N18" i="1"/>
  <c r="V17" i="1"/>
  <c r="T17" i="1"/>
  <c r="R17" i="1"/>
  <c r="P17" i="1"/>
  <c r="N17" i="1"/>
  <c r="T16" i="1"/>
  <c r="R16" i="1"/>
  <c r="V12" i="1"/>
  <c r="T12" i="1"/>
  <c r="R12" i="1"/>
  <c r="P12" i="1"/>
  <c r="N12" i="1"/>
  <c r="C16" i="1"/>
  <c r="C12" i="1"/>
  <c r="Z12" i="8" l="1"/>
  <c r="Z13" i="8"/>
  <c r="W13" i="8"/>
  <c r="U13" i="8"/>
  <c r="S13" i="8"/>
  <c r="Q13" i="8"/>
  <c r="O13" i="8"/>
  <c r="M13" i="8"/>
  <c r="K13" i="8"/>
  <c r="I13" i="8"/>
  <c r="G13" i="8"/>
  <c r="E13" i="8"/>
  <c r="W12" i="8"/>
  <c r="U12" i="8"/>
  <c r="S12" i="8"/>
  <c r="Q12" i="8"/>
  <c r="O12" i="8"/>
  <c r="M12" i="8"/>
  <c r="K12" i="8"/>
  <c r="I12" i="8"/>
  <c r="G12" i="8"/>
  <c r="E12" i="8"/>
  <c r="P33" i="4"/>
  <c r="Q33" i="4" s="1"/>
  <c r="O33" i="4"/>
  <c r="L32" i="4"/>
  <c r="Q32" i="4" s="1"/>
  <c r="I31" i="4"/>
  <c r="H31" i="4"/>
  <c r="N30" i="4"/>
  <c r="P30" i="4" s="1"/>
  <c r="L30" i="4"/>
  <c r="J30" i="4"/>
  <c r="J34" i="4" s="1"/>
  <c r="H30" i="4"/>
  <c r="Q30" i="4" s="1"/>
  <c r="H29" i="4"/>
  <c r="Q31" i="4"/>
  <c r="P29" i="4"/>
  <c r="Q29" i="4" s="1"/>
  <c r="N29" i="4"/>
  <c r="N34" i="4" s="1"/>
  <c r="L29" i="4"/>
  <c r="L34" i="4" s="1"/>
  <c r="J29" i="4"/>
  <c r="H34" i="4"/>
  <c r="O34" i="4"/>
  <c r="M34" i="4"/>
  <c r="K34" i="4"/>
  <c r="I34" i="4"/>
  <c r="G34" i="4"/>
  <c r="M25" i="4"/>
  <c r="P21" i="4"/>
  <c r="P25" i="4" s="1"/>
  <c r="O21" i="4"/>
  <c r="O25" i="4" s="1"/>
  <c r="M21" i="4"/>
  <c r="K21" i="4"/>
  <c r="K25" i="4" s="1"/>
  <c r="G21" i="4"/>
  <c r="G25" i="4" s="1"/>
  <c r="P13" i="4"/>
  <c r="O13" i="4"/>
  <c r="N13" i="4"/>
  <c r="M13" i="4"/>
  <c r="L13" i="4"/>
  <c r="K13" i="4"/>
  <c r="J13" i="4"/>
  <c r="I13" i="4"/>
  <c r="O4" i="4"/>
  <c r="O3" i="4" s="1"/>
  <c r="M4" i="4"/>
  <c r="M3" i="4" s="1"/>
  <c r="K4" i="4"/>
  <c r="K3" i="4" s="1"/>
  <c r="I4" i="4"/>
  <c r="I3" i="4" s="1"/>
  <c r="G4" i="4"/>
  <c r="H4" i="4" s="1"/>
  <c r="Y12" i="8" l="1"/>
  <c r="Y13" i="8"/>
  <c r="P34" i="4"/>
  <c r="Q34" i="4"/>
  <c r="J4" i="4"/>
  <c r="Q4" i="4" s="1"/>
  <c r="N4" i="4"/>
  <c r="L4" i="4"/>
  <c r="P4" i="4"/>
  <c r="P3" i="4" s="1"/>
  <c r="G3" i="4"/>
  <c r="W11" i="8" l="1"/>
  <c r="U11" i="8"/>
  <c r="O11" i="8"/>
  <c r="I11" i="8"/>
  <c r="G11" i="8"/>
  <c r="E11" i="8"/>
  <c r="W10" i="8"/>
  <c r="U10" i="8"/>
  <c r="S10" i="8"/>
  <c r="Q10" i="8"/>
  <c r="O10" i="8"/>
  <c r="M10" i="8"/>
  <c r="E10" i="8"/>
  <c r="X9" i="8"/>
  <c r="V9" i="8"/>
  <c r="T9" i="8"/>
  <c r="R9" i="8"/>
  <c r="P9" i="8"/>
  <c r="N9" i="8"/>
  <c r="L9" i="8"/>
  <c r="J9" i="8"/>
  <c r="G9" i="8"/>
  <c r="F9" i="8"/>
  <c r="E9" i="8"/>
  <c r="X8" i="8"/>
  <c r="V8" i="8"/>
  <c r="T8" i="8"/>
  <c r="R8" i="8"/>
  <c r="P8" i="8"/>
  <c r="N8" i="8"/>
  <c r="L8" i="8"/>
  <c r="J8" i="8"/>
  <c r="H8" i="8"/>
  <c r="G8" i="8"/>
  <c r="F8" i="8"/>
  <c r="E8" i="8"/>
  <c r="Y52" i="1"/>
  <c r="X52" i="1"/>
  <c r="W52" i="1"/>
  <c r="V52" i="1"/>
  <c r="U52" i="1"/>
  <c r="T52" i="1"/>
  <c r="S52" i="1"/>
  <c r="R52" i="1"/>
  <c r="P52" i="1"/>
  <c r="N52" i="1"/>
  <c r="L52" i="1"/>
  <c r="J52" i="1"/>
  <c r="I52" i="1"/>
  <c r="H52" i="1"/>
  <c r="G52" i="1"/>
  <c r="F52" i="1"/>
  <c r="Z53" i="1"/>
  <c r="AA51" i="1"/>
  <c r="AA50" i="1"/>
  <c r="Z48" i="1"/>
  <c r="Z47" i="1"/>
  <c r="Z46" i="1"/>
  <c r="Z45" i="1"/>
  <c r="Z44" i="1"/>
  <c r="Y49" i="1"/>
  <c r="W49" i="1"/>
  <c r="U49" i="1"/>
  <c r="S49" i="1"/>
  <c r="Q49" i="1"/>
  <c r="O49" i="1"/>
  <c r="M49" i="1"/>
  <c r="K49" i="1"/>
  <c r="J49" i="1"/>
  <c r="I49" i="1"/>
  <c r="H49" i="1"/>
  <c r="G49" i="1"/>
  <c r="F49" i="1"/>
  <c r="X43" i="1"/>
  <c r="V43" i="1"/>
  <c r="T43" i="1"/>
  <c r="R43" i="1"/>
  <c r="P43" i="1"/>
  <c r="N43" i="1"/>
  <c r="L43" i="1"/>
  <c r="J43" i="1"/>
  <c r="H43" i="1"/>
  <c r="F43" i="1"/>
  <c r="X37" i="1"/>
  <c r="V37" i="1"/>
  <c r="T37" i="1"/>
  <c r="R37" i="1"/>
  <c r="P37" i="1"/>
  <c r="N37" i="1"/>
  <c r="L37" i="1"/>
  <c r="K10" i="8" s="1"/>
  <c r="J37" i="1"/>
  <c r="I10" i="8" s="1"/>
  <c r="F37" i="1"/>
  <c r="Z40" i="1"/>
  <c r="AA39" i="1"/>
  <c r="Z38" i="1"/>
  <c r="V33" i="1"/>
  <c r="X33" i="1" s="1"/>
  <c r="T29" i="1"/>
  <c r="I29" i="1"/>
  <c r="H9" i="8" s="1"/>
  <c r="H29" i="1"/>
  <c r="G29" i="1"/>
  <c r="J29" i="1"/>
  <c r="F29" i="1"/>
  <c r="D33" i="1"/>
  <c r="AA35" i="1"/>
  <c r="AA34" i="1"/>
  <c r="AA33" i="1"/>
  <c r="AA28" i="1"/>
  <c r="AA27" i="1"/>
  <c r="AA26" i="1"/>
  <c r="Y29" i="1"/>
  <c r="X29" i="1"/>
  <c r="W29" i="1"/>
  <c r="U29" i="1"/>
  <c r="S29" i="1"/>
  <c r="R29" i="1"/>
  <c r="Q29" i="1"/>
  <c r="O29" i="1"/>
  <c r="N29" i="1"/>
  <c r="AA23" i="1"/>
  <c r="AA21" i="1"/>
  <c r="AA20" i="1"/>
  <c r="J19" i="1"/>
  <c r="Y22" i="1"/>
  <c r="X22" i="1"/>
  <c r="W22" i="1"/>
  <c r="V22" i="1"/>
  <c r="U22" i="1"/>
  <c r="T22" i="1"/>
  <c r="S22" i="1"/>
  <c r="R22" i="1"/>
  <c r="Q22" i="1"/>
  <c r="P22" i="1"/>
  <c r="O22" i="1"/>
  <c r="M22" i="1"/>
  <c r="K22" i="1"/>
  <c r="I22" i="1"/>
  <c r="G22" i="1"/>
  <c r="F22" i="1"/>
  <c r="Y19" i="1"/>
  <c r="X19" i="1"/>
  <c r="W19" i="1"/>
  <c r="AA19" i="1" s="1"/>
  <c r="U19" i="1"/>
  <c r="S19" i="1"/>
  <c r="Q19" i="1"/>
  <c r="O19" i="1"/>
  <c r="M19" i="1"/>
  <c r="K19" i="1"/>
  <c r="I19" i="1"/>
  <c r="H19" i="1"/>
  <c r="G19" i="1"/>
  <c r="F19" i="1"/>
  <c r="V15" i="1"/>
  <c r="AA18" i="1"/>
  <c r="AA17" i="1"/>
  <c r="AA16" i="1"/>
  <c r="Y15" i="1"/>
  <c r="AA15" i="1" s="1"/>
  <c r="X15" i="1"/>
  <c r="W15" i="1"/>
  <c r="U15" i="1"/>
  <c r="S15" i="1"/>
  <c r="Q15" i="1"/>
  <c r="O15" i="1"/>
  <c r="M15" i="1"/>
  <c r="L15" i="1"/>
  <c r="K15" i="1"/>
  <c r="J15" i="1"/>
  <c r="I15" i="1"/>
  <c r="H15" i="1"/>
  <c r="G15" i="1"/>
  <c r="F15" i="1"/>
  <c r="F11" i="1"/>
  <c r="Y11" i="1"/>
  <c r="W11" i="1"/>
  <c r="U11" i="1"/>
  <c r="S11" i="1"/>
  <c r="Q11" i="1"/>
  <c r="O11" i="1"/>
  <c r="M11" i="1"/>
  <c r="I11" i="1"/>
  <c r="H11" i="1"/>
  <c r="G11" i="1"/>
  <c r="AA14" i="1"/>
  <c r="AA12" i="1"/>
  <c r="Y5" i="1"/>
  <c r="X5" i="1"/>
  <c r="W5" i="1"/>
  <c r="U5" i="1"/>
  <c r="S5" i="1"/>
  <c r="Q5" i="1"/>
  <c r="O5" i="1"/>
  <c r="M5" i="1"/>
  <c r="K5" i="1"/>
  <c r="I5" i="1"/>
  <c r="G5" i="1"/>
  <c r="F5" i="1"/>
  <c r="AA10" i="1"/>
  <c r="AA9" i="1"/>
  <c r="AA8" i="1"/>
  <c r="AA7" i="1"/>
  <c r="AA6" i="1"/>
  <c r="E14" i="8" l="1"/>
  <c r="Z8" i="8"/>
  <c r="Z9" i="8"/>
  <c r="Z33" i="1"/>
  <c r="Z52" i="1"/>
  <c r="M4" i="1"/>
  <c r="AA5" i="1"/>
  <c r="AA49" i="1"/>
  <c r="H42" i="1"/>
  <c r="Z43" i="1"/>
  <c r="J42" i="1"/>
  <c r="F42" i="1"/>
  <c r="Z39" i="1"/>
  <c r="AA32" i="1"/>
  <c r="M29" i="1"/>
  <c r="AA31" i="1"/>
  <c r="AA30" i="1"/>
  <c r="K29" i="1"/>
  <c r="AA22" i="1"/>
  <c r="F4" i="1"/>
  <c r="Y4" i="1"/>
  <c r="O4" i="1"/>
  <c r="W4" i="1"/>
  <c r="U4" i="1"/>
  <c r="Q4" i="1"/>
  <c r="G4" i="1"/>
  <c r="I4" i="1"/>
  <c r="S4" i="1"/>
  <c r="T11" i="1"/>
  <c r="K11" i="1"/>
  <c r="AA11" i="1" s="1"/>
  <c r="AA13" i="1"/>
  <c r="D39" i="1"/>
  <c r="H37" i="1" s="1"/>
  <c r="C49" i="1"/>
  <c r="D51" i="1"/>
  <c r="Z37" i="1" l="1"/>
  <c r="G10" i="8"/>
  <c r="X51" i="1"/>
  <c r="V51" i="1"/>
  <c r="V49" i="1" s="1"/>
  <c r="V42" i="1" s="1"/>
  <c r="T51" i="1"/>
  <c r="T49" i="1" s="1"/>
  <c r="T42" i="1" s="1"/>
  <c r="S11" i="8" s="1"/>
  <c r="F55" i="1"/>
  <c r="AA25" i="1"/>
  <c r="AA29" i="1"/>
  <c r="K4" i="1"/>
  <c r="AA4" i="1" s="1"/>
  <c r="V11" i="1"/>
  <c r="G14" i="8" l="1"/>
  <c r="B24" i="8" s="1"/>
  <c r="Y10" i="8"/>
  <c r="X49" i="1"/>
  <c r="Z51" i="1"/>
  <c r="X11" i="1"/>
  <c r="E53" i="1"/>
  <c r="D50" i="1"/>
  <c r="E45" i="1"/>
  <c r="E44" i="1"/>
  <c r="D10" i="1"/>
  <c r="E30" i="4"/>
  <c r="E31" i="4"/>
  <c r="E32" i="4"/>
  <c r="E33" i="4"/>
  <c r="E15" i="4"/>
  <c r="E16" i="4"/>
  <c r="E17" i="4"/>
  <c r="E18" i="4"/>
  <c r="E8" i="4"/>
  <c r="E10" i="4"/>
  <c r="E12" i="4"/>
  <c r="C52" i="1"/>
  <c r="C37" i="1"/>
  <c r="E48" i="1"/>
  <c r="E46" i="1"/>
  <c r="F5" i="4"/>
  <c r="H5" i="4" s="1"/>
  <c r="E5" i="1"/>
  <c r="E11" i="1"/>
  <c r="E15" i="1"/>
  <c r="E19" i="1"/>
  <c r="E22" i="1"/>
  <c r="C8" i="1"/>
  <c r="C5" i="1" s="1"/>
  <c r="E24" i="4"/>
  <c r="F24" i="4" s="1"/>
  <c r="E29" i="1"/>
  <c r="D35" i="1"/>
  <c r="D34" i="1"/>
  <c r="D32" i="1"/>
  <c r="D31" i="1"/>
  <c r="D30" i="1"/>
  <c r="D23" i="1"/>
  <c r="D21" i="1"/>
  <c r="D20" i="1"/>
  <c r="D7" i="1"/>
  <c r="D6" i="1"/>
  <c r="N24" i="4" l="1"/>
  <c r="N21" i="4" s="1"/>
  <c r="N25" i="4" s="1"/>
  <c r="L24" i="4"/>
  <c r="J24" i="4"/>
  <c r="H24" i="4"/>
  <c r="J5" i="4"/>
  <c r="H3" i="4"/>
  <c r="U48" i="1"/>
  <c r="W48" i="1" s="1"/>
  <c r="S48" i="1"/>
  <c r="Y48" i="1" s="1"/>
  <c r="K45" i="1"/>
  <c r="N35" i="1"/>
  <c r="Z35" i="1" s="1"/>
  <c r="L35" i="1"/>
  <c r="P35" i="1"/>
  <c r="D49" i="1"/>
  <c r="P49" i="1"/>
  <c r="P42" i="1" s="1"/>
  <c r="N49" i="1"/>
  <c r="N42" i="1" s="1"/>
  <c r="M11" i="8" s="1"/>
  <c r="L49" i="1"/>
  <c r="L42" i="1" s="1"/>
  <c r="K11" i="8" s="1"/>
  <c r="X42" i="1"/>
  <c r="Q53" i="1"/>
  <c r="M53" i="1"/>
  <c r="M52" i="1" s="1"/>
  <c r="O53" i="1"/>
  <c r="O52" i="1" s="1"/>
  <c r="K53" i="1"/>
  <c r="K52" i="1" s="1"/>
  <c r="O46" i="1"/>
  <c r="U46" i="1" s="1"/>
  <c r="P21" i="1"/>
  <c r="R21" i="1"/>
  <c r="V21" i="1"/>
  <c r="N21" i="1"/>
  <c r="T21" i="1"/>
  <c r="L21" i="1"/>
  <c r="P32" i="1"/>
  <c r="V32" i="1"/>
  <c r="L32" i="1"/>
  <c r="T20" i="1"/>
  <c r="L20" i="1"/>
  <c r="L19" i="1" s="1"/>
  <c r="N20" i="1"/>
  <c r="N19" i="1" s="1"/>
  <c r="R20" i="1"/>
  <c r="P20" i="1"/>
  <c r="V20" i="1"/>
  <c r="V31" i="1"/>
  <c r="L31" i="1"/>
  <c r="P31" i="1"/>
  <c r="H10" i="1"/>
  <c r="J10" i="1"/>
  <c r="L10" i="1"/>
  <c r="H23" i="1"/>
  <c r="H22" i="1" s="1"/>
  <c r="N23" i="1"/>
  <c r="L23" i="1"/>
  <c r="L22" i="1" s="1"/>
  <c r="J23" i="1"/>
  <c r="J22" i="1" s="1"/>
  <c r="P30" i="1"/>
  <c r="V30" i="1"/>
  <c r="L30" i="1"/>
  <c r="X4" i="1"/>
  <c r="W8" i="8" s="1"/>
  <c r="H7" i="1"/>
  <c r="N7" i="1"/>
  <c r="L7" i="1"/>
  <c r="J7" i="1"/>
  <c r="R6" i="1"/>
  <c r="P6" i="1"/>
  <c r="T6" i="1"/>
  <c r="N6" i="1"/>
  <c r="V6" i="1"/>
  <c r="L6" i="1"/>
  <c r="D29" i="1"/>
  <c r="L5" i="4" l="1"/>
  <c r="J3" i="4"/>
  <c r="Q24" i="4"/>
  <c r="L21" i="4"/>
  <c r="L25" i="4" s="1"/>
  <c r="Z50" i="1"/>
  <c r="R49" i="1"/>
  <c r="P19" i="1"/>
  <c r="T19" i="1"/>
  <c r="K43" i="1"/>
  <c r="K42" i="1" s="1"/>
  <c r="J11" i="8" s="1"/>
  <c r="I43" i="1"/>
  <c r="I42" i="1" s="1"/>
  <c r="H11" i="8" s="1"/>
  <c r="AA48" i="1"/>
  <c r="L29" i="1"/>
  <c r="Q52" i="1"/>
  <c r="AA52" i="1" s="1"/>
  <c r="AA53" i="1"/>
  <c r="Q43" i="1"/>
  <c r="AA45" i="1"/>
  <c r="AA46" i="1"/>
  <c r="Z21" i="1"/>
  <c r="G43" i="1"/>
  <c r="G42" i="1" s="1"/>
  <c r="F11" i="8" s="1"/>
  <c r="O43" i="1"/>
  <c r="O42" i="1" s="1"/>
  <c r="N11" i="8" s="1"/>
  <c r="Z34" i="1"/>
  <c r="Z23" i="1"/>
  <c r="N22" i="1"/>
  <c r="Z22" i="1" s="1"/>
  <c r="V19" i="1"/>
  <c r="Z20" i="1"/>
  <c r="Z7" i="1"/>
  <c r="Z31" i="1"/>
  <c r="V29" i="1"/>
  <c r="Z29" i="1" s="1"/>
  <c r="Z30" i="1"/>
  <c r="P29" i="1"/>
  <c r="Z10" i="1"/>
  <c r="R19" i="1"/>
  <c r="Z32" i="1"/>
  <c r="Z6" i="1"/>
  <c r="E40" i="1"/>
  <c r="E38" i="1"/>
  <c r="C29" i="1"/>
  <c r="D43" i="1"/>
  <c r="D42" i="1" s="1"/>
  <c r="D37" i="1"/>
  <c r="C22" i="1"/>
  <c r="D22" i="1"/>
  <c r="C19" i="1"/>
  <c r="D9" i="1"/>
  <c r="H9" i="1" s="1"/>
  <c r="J9" i="1" s="1"/>
  <c r="L9" i="1" s="1"/>
  <c r="N9" i="1" s="1"/>
  <c r="P9" i="1" s="1"/>
  <c r="R9" i="1" s="1"/>
  <c r="T9" i="1" s="1"/>
  <c r="V9" i="1" s="1"/>
  <c r="Z9" i="1" s="1"/>
  <c r="D8" i="1"/>
  <c r="H8" i="1" s="1"/>
  <c r="J8" i="1" s="1"/>
  <c r="L8" i="1" s="1"/>
  <c r="N8" i="1" s="1"/>
  <c r="P8" i="1" s="1"/>
  <c r="R8" i="1" s="1"/>
  <c r="T8" i="1" s="1"/>
  <c r="V8" i="1" s="1"/>
  <c r="Z8" i="1" s="1"/>
  <c r="N5" i="4" l="1"/>
  <c r="L3" i="4"/>
  <c r="J5" i="1"/>
  <c r="Q42" i="1"/>
  <c r="P11" i="8" s="1"/>
  <c r="R42" i="1"/>
  <c r="Q11" i="8" s="1"/>
  <c r="Y11" i="8" s="1"/>
  <c r="Z49" i="1"/>
  <c r="G37" i="1"/>
  <c r="Z19" i="1"/>
  <c r="M43" i="1"/>
  <c r="M42" i="1" s="1"/>
  <c r="L11" i="8" s="1"/>
  <c r="AA44" i="1"/>
  <c r="L12" i="1"/>
  <c r="J12" i="1"/>
  <c r="N5" i="1"/>
  <c r="L5" i="1"/>
  <c r="T5" i="1"/>
  <c r="H5" i="1"/>
  <c r="H4" i="1" s="1"/>
  <c r="H55" i="1" s="1"/>
  <c r="R5" i="1"/>
  <c r="P5" i="1"/>
  <c r="V5" i="1"/>
  <c r="D5" i="1"/>
  <c r="E37" i="1"/>
  <c r="D27" i="1"/>
  <c r="D17" i="1"/>
  <c r="D19" i="1"/>
  <c r="D14" i="1"/>
  <c r="G55" i="1" l="1"/>
  <c r="F10" i="8"/>
  <c r="F14" i="8" s="1"/>
  <c r="N3" i="4"/>
  <c r="Q3" i="4" s="1"/>
  <c r="Q5" i="4"/>
  <c r="AA40" i="1"/>
  <c r="Z42" i="1"/>
  <c r="Z5" i="1"/>
  <c r="V4" i="1"/>
  <c r="U8" i="8" s="1"/>
  <c r="Z12" i="1"/>
  <c r="P16" i="1"/>
  <c r="N16" i="1"/>
  <c r="L11" i="1"/>
  <c r="L4" i="1" s="1"/>
  <c r="K8" i="8" s="1"/>
  <c r="D13" i="1"/>
  <c r="D11" i="1" s="1"/>
  <c r="C11" i="1"/>
  <c r="C15" i="1"/>
  <c r="D18" i="1"/>
  <c r="D15" i="1" s="1"/>
  <c r="D28" i="1"/>
  <c r="I55" i="1" l="1"/>
  <c r="H10" i="8"/>
  <c r="H14" i="8" s="1"/>
  <c r="B26" i="8" s="1"/>
  <c r="P11" i="1"/>
  <c r="N11" i="1"/>
  <c r="J11" i="1"/>
  <c r="J4" i="1" s="1"/>
  <c r="I8" i="8" s="1"/>
  <c r="M38" i="1"/>
  <c r="K37" i="1"/>
  <c r="Z14" i="1"/>
  <c r="Z16" i="1"/>
  <c r="R11" i="1"/>
  <c r="N15" i="1"/>
  <c r="N4" i="1" s="1"/>
  <c r="M8" i="8" s="1"/>
  <c r="P15" i="1"/>
  <c r="Z13" i="1"/>
  <c r="J28" i="1"/>
  <c r="L28" i="1" s="1"/>
  <c r="N28" i="1" s="1"/>
  <c r="P28" i="1" s="1"/>
  <c r="R28" i="1" s="1"/>
  <c r="T28" i="1" s="1"/>
  <c r="V28" i="1" s="1"/>
  <c r="X28" i="1" s="1"/>
  <c r="Z28" i="1" s="1"/>
  <c r="C23" i="10"/>
  <c r="D4" i="1"/>
  <c r="H21" i="10"/>
  <c r="I21" i="10" s="1"/>
  <c r="J21" i="10" s="1"/>
  <c r="K21" i="10" s="1"/>
  <c r="G21" i="10"/>
  <c r="D11" i="4"/>
  <c r="E11" i="4" s="1"/>
  <c r="F11" i="4" s="1"/>
  <c r="H11" i="4" s="1"/>
  <c r="B28" i="8" l="1"/>
  <c r="K55" i="1"/>
  <c r="J10" i="8"/>
  <c r="J14" i="8" s="1"/>
  <c r="P4" i="1"/>
  <c r="O8" i="8" s="1"/>
  <c r="Z11" i="1"/>
  <c r="J11" i="4"/>
  <c r="L11" i="4" s="1"/>
  <c r="N11" i="4" s="1"/>
  <c r="P11" i="4" s="1"/>
  <c r="Q11" i="4"/>
  <c r="M37" i="1"/>
  <c r="R15" i="1"/>
  <c r="R4" i="1" s="1"/>
  <c r="Q8" i="8" s="1"/>
  <c r="T15" i="1"/>
  <c r="Z17" i="1"/>
  <c r="Z18" i="1"/>
  <c r="L21" i="10"/>
  <c r="F10" i="4"/>
  <c r="G10" i="4" s="1"/>
  <c r="D9" i="4"/>
  <c r="C9" i="4"/>
  <c r="I14" i="10"/>
  <c r="J14" i="10" s="1"/>
  <c r="H15" i="10"/>
  <c r="I15" i="10" s="1"/>
  <c r="J15" i="10" s="1"/>
  <c r="G15" i="10"/>
  <c r="L15" i="10" s="1"/>
  <c r="G20" i="10"/>
  <c r="H20" i="10"/>
  <c r="I20" i="10" s="1"/>
  <c r="J20" i="10" s="1"/>
  <c r="K20" i="10" s="1"/>
  <c r="H19" i="10"/>
  <c r="I19" i="10" s="1"/>
  <c r="J19" i="10" s="1"/>
  <c r="H18" i="10"/>
  <c r="I18" i="10" s="1"/>
  <c r="J18" i="10" s="1"/>
  <c r="H17" i="10"/>
  <c r="I17" i="10" s="1"/>
  <c r="J17" i="10" s="1"/>
  <c r="H16" i="10"/>
  <c r="I16" i="10" s="1"/>
  <c r="J16" i="10" s="1"/>
  <c r="H13" i="10"/>
  <c r="I13" i="10" s="1"/>
  <c r="J13" i="10" s="1"/>
  <c r="K13" i="10" s="1"/>
  <c r="H12" i="10"/>
  <c r="I12" i="10" s="1"/>
  <c r="J12" i="10" s="1"/>
  <c r="K12" i="10" s="1"/>
  <c r="H11" i="10"/>
  <c r="I11" i="10" s="1"/>
  <c r="J11" i="10" s="1"/>
  <c r="K11" i="10" s="1"/>
  <c r="H10" i="10"/>
  <c r="I10" i="10" s="1"/>
  <c r="J10" i="10" s="1"/>
  <c r="K10" i="10" s="1"/>
  <c r="H9" i="10"/>
  <c r="I9" i="10" s="1"/>
  <c r="J9" i="10" s="1"/>
  <c r="K9" i="10" s="1"/>
  <c r="H8" i="10"/>
  <c r="I8" i="10" s="1"/>
  <c r="J8" i="10" s="1"/>
  <c r="K8" i="10" s="1"/>
  <c r="H7" i="10"/>
  <c r="I7" i="10" s="1"/>
  <c r="J7" i="10" s="1"/>
  <c r="K7" i="10" s="1"/>
  <c r="H6" i="10"/>
  <c r="H22" i="10" s="1"/>
  <c r="G13" i="10"/>
  <c r="B27" i="8" l="1"/>
  <c r="B25" i="8"/>
  <c r="B31" i="8"/>
  <c r="M55" i="1"/>
  <c r="L10" i="8"/>
  <c r="L14" i="8" s="1"/>
  <c r="C26" i="8" s="1"/>
  <c r="Z15" i="1"/>
  <c r="H10" i="4"/>
  <c r="I10" i="4" s="1"/>
  <c r="J10" i="4" s="1"/>
  <c r="K10" i="4" s="1"/>
  <c r="L10" i="4" s="1"/>
  <c r="M10" i="4" s="1"/>
  <c r="N10" i="4" s="1"/>
  <c r="O10" i="4" s="1"/>
  <c r="P10" i="4" s="1"/>
  <c r="Q10" i="4"/>
  <c r="Q38" i="1"/>
  <c r="O37" i="1"/>
  <c r="T4" i="1"/>
  <c r="I6" i="10"/>
  <c r="I22" i="10" s="1"/>
  <c r="E9" i="4"/>
  <c r="F9" i="4" s="1"/>
  <c r="G9" i="4" s="1"/>
  <c r="L13" i="10"/>
  <c r="F31" i="4"/>
  <c r="F33" i="4"/>
  <c r="E29" i="4"/>
  <c r="G7" i="10"/>
  <c r="L7" i="10" s="1"/>
  <c r="G8" i="10"/>
  <c r="L8" i="10" s="1"/>
  <c r="G9" i="10"/>
  <c r="L9" i="10" s="1"/>
  <c r="G10" i="10"/>
  <c r="G11" i="10"/>
  <c r="G12" i="10"/>
  <c r="G16" i="10"/>
  <c r="G17" i="10"/>
  <c r="G18" i="10"/>
  <c r="O55" i="1" l="1"/>
  <c r="N10" i="8"/>
  <c r="Z4" i="1"/>
  <c r="S8" i="8"/>
  <c r="H9" i="4"/>
  <c r="I9" i="4" s="1"/>
  <c r="J9" i="4" s="1"/>
  <c r="K9" i="4" s="1"/>
  <c r="L9" i="4" s="1"/>
  <c r="M9" i="4" s="1"/>
  <c r="N9" i="4" s="1"/>
  <c r="O9" i="4" s="1"/>
  <c r="P9" i="4" s="1"/>
  <c r="Q37" i="1"/>
  <c r="J6" i="10"/>
  <c r="J22" i="10" s="1"/>
  <c r="F29" i="4"/>
  <c r="Q55" i="1" l="1"/>
  <c r="P10" i="8"/>
  <c r="P14" i="8" s="1"/>
  <c r="N14" i="8"/>
  <c r="D26" i="8" s="1"/>
  <c r="Y8" i="8"/>
  <c r="Q9" i="4"/>
  <c r="S37" i="1"/>
  <c r="R10" i="8" s="1"/>
  <c r="K6" i="10"/>
  <c r="K22" i="10" s="1"/>
  <c r="F32" i="4"/>
  <c r="A11" i="8"/>
  <c r="A10" i="8"/>
  <c r="A9" i="8"/>
  <c r="A8" i="8"/>
  <c r="F16" i="4"/>
  <c r="G16" i="4" s="1"/>
  <c r="E34" i="4"/>
  <c r="F12" i="4"/>
  <c r="G12" i="4" s="1"/>
  <c r="F8" i="4"/>
  <c r="G8" i="4" s="1"/>
  <c r="E7" i="4"/>
  <c r="F7" i="4" s="1"/>
  <c r="G7" i="4" s="1"/>
  <c r="F17" i="4"/>
  <c r="H17" i="4" s="1"/>
  <c r="Q17" i="4" s="1"/>
  <c r="H8" i="4" l="1"/>
  <c r="I8" i="4" s="1"/>
  <c r="J8" i="4" s="1"/>
  <c r="K8" i="4" s="1"/>
  <c r="L8" i="4" s="1"/>
  <c r="M8" i="4" s="1"/>
  <c r="N8" i="4" s="1"/>
  <c r="O8" i="4" s="1"/>
  <c r="P8" i="4" s="1"/>
  <c r="H12" i="4"/>
  <c r="I12" i="4" s="1"/>
  <c r="J12" i="4" s="1"/>
  <c r="K12" i="4" s="1"/>
  <c r="L12" i="4" s="1"/>
  <c r="M12" i="4" s="1"/>
  <c r="N12" i="4" s="1"/>
  <c r="O12" i="4" s="1"/>
  <c r="P12" i="4" s="1"/>
  <c r="Q12" i="4"/>
  <c r="G13" i="4"/>
  <c r="Q16" i="4"/>
  <c r="H7" i="4"/>
  <c r="G6" i="4"/>
  <c r="U37" i="1"/>
  <c r="T10" i="8" s="1"/>
  <c r="F30" i="4"/>
  <c r="F6" i="4"/>
  <c r="E6" i="4"/>
  <c r="G6" i="10"/>
  <c r="G22" i="10" s="1"/>
  <c r="L22" i="10" s="1"/>
  <c r="E49" i="1"/>
  <c r="D10" i="8"/>
  <c r="C10" i="8"/>
  <c r="E25" i="1"/>
  <c r="D9" i="8" s="1"/>
  <c r="G19" i="4" l="1"/>
  <c r="Q8" i="4"/>
  <c r="I7" i="4"/>
  <c r="H6" i="4"/>
  <c r="W37" i="1"/>
  <c r="V10" i="8" s="1"/>
  <c r="C11" i="8"/>
  <c r="B10" i="8"/>
  <c r="F34" i="4"/>
  <c r="C13" i="8" s="1"/>
  <c r="B13" i="8" s="1"/>
  <c r="L17" i="10"/>
  <c r="L19" i="10"/>
  <c r="L6" i="10"/>
  <c r="C4" i="1"/>
  <c r="L16" i="10"/>
  <c r="L12" i="10"/>
  <c r="L18" i="10"/>
  <c r="L14" i="10"/>
  <c r="L11" i="10"/>
  <c r="L10" i="10"/>
  <c r="L20" i="10"/>
  <c r="J7" i="4" l="1"/>
  <c r="I6" i="4"/>
  <c r="I19" i="4" s="1"/>
  <c r="Y37" i="1"/>
  <c r="AA38" i="1"/>
  <c r="E4" i="4"/>
  <c r="E3" i="4" s="1"/>
  <c r="AA37" i="1" l="1"/>
  <c r="X10" i="8"/>
  <c r="K7" i="4"/>
  <c r="J6" i="4"/>
  <c r="J19" i="4" s="1"/>
  <c r="C8" i="8"/>
  <c r="Z10" i="8" l="1"/>
  <c r="L7" i="4"/>
  <c r="K6" i="4"/>
  <c r="K19" i="4" s="1"/>
  <c r="E23" i="4"/>
  <c r="F23" i="4" s="1"/>
  <c r="E22" i="4"/>
  <c r="F18" i="4"/>
  <c r="H18" i="4" s="1"/>
  <c r="Q18" i="4" s="1"/>
  <c r="F15" i="4"/>
  <c r="H15" i="4" s="1"/>
  <c r="Q15" i="4" s="1"/>
  <c r="A7" i="10"/>
  <c r="A8" i="10" s="1"/>
  <c r="A9" i="10" s="1"/>
  <c r="A10" i="10" s="1"/>
  <c r="I23" i="4" l="1"/>
  <c r="H23" i="4"/>
  <c r="J23" i="4"/>
  <c r="J21" i="4" s="1"/>
  <c r="J25" i="4" s="1"/>
  <c r="M7" i="4"/>
  <c r="L6" i="4"/>
  <c r="L19" i="4" s="1"/>
  <c r="E21" i="4"/>
  <c r="E25" i="4" s="1"/>
  <c r="A11" i="10"/>
  <c r="E14" i="4"/>
  <c r="F14" i="4" s="1"/>
  <c r="H14" i="4" s="1"/>
  <c r="F22" i="4"/>
  <c r="Q14" i="4" l="1"/>
  <c r="H13" i="4"/>
  <c r="H19" i="4" s="1"/>
  <c r="N7" i="4"/>
  <c r="M6" i="4"/>
  <c r="M19" i="4" s="1"/>
  <c r="Q23" i="4"/>
  <c r="H21" i="4"/>
  <c r="F21" i="4"/>
  <c r="I22" i="4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F13" i="4"/>
  <c r="E13" i="4"/>
  <c r="I21" i="4" l="1"/>
  <c r="I25" i="4" s="1"/>
  <c r="Q22" i="4"/>
  <c r="O7" i="4"/>
  <c r="N6" i="4"/>
  <c r="N19" i="4" s="1"/>
  <c r="H25" i="4"/>
  <c r="Q25" i="4" s="1"/>
  <c r="Q21" i="4"/>
  <c r="F25" i="4"/>
  <c r="P7" i="4" l="1"/>
  <c r="O6" i="4"/>
  <c r="O19" i="4" s="1"/>
  <c r="F4" i="4"/>
  <c r="P6" i="4" l="1"/>
  <c r="Q7" i="4"/>
  <c r="F3" i="4"/>
  <c r="F19" i="4" s="1"/>
  <c r="C12" i="8" s="1"/>
  <c r="Q6" i="4" l="1"/>
  <c r="P19" i="4"/>
  <c r="Q19" i="4" s="1"/>
  <c r="B12" i="8"/>
  <c r="Q13" i="4" l="1"/>
  <c r="E4" i="1"/>
  <c r="D8" i="8" l="1"/>
  <c r="B8" i="8" l="1"/>
  <c r="E52" i="1"/>
  <c r="C43" i="1"/>
  <c r="E47" i="1"/>
  <c r="E43" i="1" l="1"/>
  <c r="E42" i="1" s="1"/>
  <c r="E55" i="1" s="1"/>
  <c r="E59" i="1" s="1"/>
  <c r="C42" i="1"/>
  <c r="J59" i="1" l="1"/>
  <c r="N59" i="1"/>
  <c r="P59" i="1"/>
  <c r="H59" i="1"/>
  <c r="F59" i="1"/>
  <c r="L59" i="1"/>
  <c r="S43" i="1"/>
  <c r="S42" i="1" s="1"/>
  <c r="W43" i="1"/>
  <c r="W42" i="1" s="1"/>
  <c r="U43" i="1"/>
  <c r="U42" i="1" s="1"/>
  <c r="D11" i="8"/>
  <c r="D14" i="8" s="1"/>
  <c r="S55" i="1" l="1"/>
  <c r="R59" i="1" s="1"/>
  <c r="R11" i="8"/>
  <c r="R14" i="8" s="1"/>
  <c r="U55" i="1"/>
  <c r="T59" i="1" s="1"/>
  <c r="T11" i="8"/>
  <c r="T14" i="8" s="1"/>
  <c r="T16" i="8" s="1"/>
  <c r="W55" i="1"/>
  <c r="V59" i="1" s="1"/>
  <c r="V11" i="8"/>
  <c r="L16" i="8"/>
  <c r="F16" i="8"/>
  <c r="H16" i="8"/>
  <c r="J16" i="8"/>
  <c r="N16" i="8"/>
  <c r="P16" i="8"/>
  <c r="AA47" i="1"/>
  <c r="Y43" i="1"/>
  <c r="B11" i="8"/>
  <c r="R16" i="8" l="1"/>
  <c r="E26" i="8"/>
  <c r="V14" i="8"/>
  <c r="E21" i="8"/>
  <c r="I21" i="8"/>
  <c r="C21" i="8"/>
  <c r="G21" i="8"/>
  <c r="Y42" i="1"/>
  <c r="X11" i="8" s="1"/>
  <c r="X14" i="8" s="1"/>
  <c r="X16" i="8" s="1"/>
  <c r="AA43" i="1"/>
  <c r="F26" i="8" l="1"/>
  <c r="Z11" i="8"/>
  <c r="Z14" i="8"/>
  <c r="V16" i="8"/>
  <c r="K21" i="8" s="1"/>
  <c r="Y55" i="1"/>
  <c r="X59" i="1" s="1"/>
  <c r="Z59" i="1" s="1"/>
  <c r="AA42" i="1"/>
  <c r="AA55" i="1" s="1"/>
  <c r="G26" i="8" l="1"/>
  <c r="C55" i="1"/>
  <c r="J26" i="1"/>
  <c r="R26" i="1" s="1"/>
  <c r="N26" i="1"/>
  <c r="L26" i="1"/>
  <c r="L27" i="1" s="1"/>
  <c r="N27" i="1" l="1"/>
  <c r="R27" i="1"/>
  <c r="X26" i="1"/>
  <c r="T26" i="1"/>
  <c r="D25" i="1"/>
  <c r="P26" i="1"/>
  <c r="J27" i="1"/>
  <c r="I9" i="8" l="1"/>
  <c r="I14" i="8" s="1"/>
  <c r="J55" i="1"/>
  <c r="R55" i="1"/>
  <c r="R57" i="1" s="1"/>
  <c r="Q9" i="8"/>
  <c r="Q14" i="8" s="1"/>
  <c r="M9" i="8"/>
  <c r="M14" i="8" s="1"/>
  <c r="N55" i="1"/>
  <c r="C9" i="8"/>
  <c r="D55" i="1"/>
  <c r="D57" i="1" s="1"/>
  <c r="H57" i="1" s="1"/>
  <c r="P27" i="1"/>
  <c r="K9" i="8"/>
  <c r="K14" i="8" s="1"/>
  <c r="L55" i="1"/>
  <c r="L57" i="1" s="1"/>
  <c r="T27" i="1"/>
  <c r="V26" i="1"/>
  <c r="Z26" i="1" s="1"/>
  <c r="N57" i="1" l="1"/>
  <c r="J57" i="1"/>
  <c r="O9" i="8"/>
  <c r="O14" i="8" s="1"/>
  <c r="D24" i="8" s="1"/>
  <c r="D28" i="8" s="1"/>
  <c r="D31" i="8" s="1"/>
  <c r="P55" i="1"/>
  <c r="P57" i="1" s="1"/>
  <c r="S9" i="8"/>
  <c r="S14" i="8" s="1"/>
  <c r="S16" i="8" s="1"/>
  <c r="T55" i="1"/>
  <c r="T57" i="1" s="1"/>
  <c r="B9" i="8"/>
  <c r="B14" i="8" s="1"/>
  <c r="B32" i="8" s="1"/>
  <c r="C14" i="8"/>
  <c r="V27" i="1"/>
  <c r="Z27" i="1" s="1"/>
  <c r="Q16" i="8"/>
  <c r="H21" i="8" s="1"/>
  <c r="W9" i="8"/>
  <c r="X55" i="1"/>
  <c r="X57" i="1" s="1"/>
  <c r="C24" i="8"/>
  <c r="Z25" i="1" l="1"/>
  <c r="Z55" i="1" s="1"/>
  <c r="C28" i="8"/>
  <c r="C25" i="8" s="1"/>
  <c r="G16" i="8"/>
  <c r="E16" i="8"/>
  <c r="I16" i="8"/>
  <c r="W14" i="8"/>
  <c r="D32" i="8"/>
  <c r="M16" i="8"/>
  <c r="E24" i="8"/>
  <c r="E28" i="8" s="1"/>
  <c r="E31" i="8" s="1"/>
  <c r="E32" i="8" s="1"/>
  <c r="V55" i="1"/>
  <c r="V57" i="1" s="1"/>
  <c r="Z57" i="1" s="1"/>
  <c r="U9" i="8"/>
  <c r="U14" i="8" s="1"/>
  <c r="K16" i="8"/>
  <c r="O16" i="8"/>
  <c r="F21" i="8" l="1"/>
  <c r="U16" i="8"/>
  <c r="F24" i="8"/>
  <c r="F28" i="8" s="1"/>
  <c r="F31" i="8" s="1"/>
  <c r="F32" i="8" s="1"/>
  <c r="D21" i="8"/>
  <c r="Y9" i="8"/>
  <c r="Y14" i="8"/>
  <c r="W16" i="8"/>
  <c r="C31" i="8"/>
  <c r="C27" i="8"/>
  <c r="B21" i="8"/>
  <c r="G24" i="8" l="1"/>
  <c r="G28" i="8"/>
  <c r="G27" i="8" s="1"/>
  <c r="C32" i="8"/>
  <c r="G32" i="8" s="1"/>
  <c r="G31" i="8"/>
  <c r="J21" i="8"/>
  <c r="G25" i="8" l="1"/>
</calcChain>
</file>

<file path=xl/comments1.xml><?xml version="1.0" encoding="utf-8"?>
<comments xmlns="http://schemas.openxmlformats.org/spreadsheetml/2006/main">
  <authors>
    <author>usuario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Eadq debe de involucrase en el seguimiento de los contratos.</t>
        </r>
      </text>
    </comment>
  </commentList>
</comments>
</file>

<file path=xl/sharedStrings.xml><?xml version="1.0" encoding="utf-8"?>
<sst xmlns="http://schemas.openxmlformats.org/spreadsheetml/2006/main" count="291" uniqueCount="143">
  <si>
    <t>COMPONENTES</t>
  </si>
  <si>
    <t>Unidad</t>
  </si>
  <si>
    <t>Costo Unitario</t>
  </si>
  <si>
    <t>N° Unidades</t>
  </si>
  <si>
    <t>Total
(USD)</t>
  </si>
  <si>
    <t>TOTAL</t>
  </si>
  <si>
    <t>S1</t>
  </si>
  <si>
    <t>S2</t>
  </si>
  <si>
    <t>BID</t>
  </si>
  <si>
    <t>Suma alzada</t>
  </si>
  <si>
    <t>Total Administración</t>
  </si>
  <si>
    <t>Firma Auditora Externa</t>
  </si>
  <si>
    <t>Evaluación de medio término</t>
  </si>
  <si>
    <t>US$</t>
  </si>
  <si>
    <t>Total</t>
  </si>
  <si>
    <t>Recursos Humanos</t>
  </si>
  <si>
    <t>Especialista Financiero</t>
  </si>
  <si>
    <t>Ingeniero Civil</t>
  </si>
  <si>
    <t>Meses</t>
  </si>
  <si>
    <t>Año 1</t>
  </si>
  <si>
    <t>Año 2</t>
  </si>
  <si>
    <t>Año 3</t>
  </si>
  <si>
    <t>Año 4</t>
  </si>
  <si>
    <t>Año 5</t>
  </si>
  <si>
    <t>Equipo de Oficina y Muebles</t>
  </si>
  <si>
    <t>Vehículos Livianos para Funciones Administrativas</t>
  </si>
  <si>
    <t>TOTAL Componentes</t>
  </si>
  <si>
    <t>Duración</t>
  </si>
  <si>
    <t>Salario</t>
  </si>
  <si>
    <t>Años</t>
  </si>
  <si>
    <t>Equipamiento, Mobiliario y Vehiculos</t>
  </si>
  <si>
    <t>US$/vehiculo</t>
  </si>
  <si>
    <t>Fortalecimiento Institucional</t>
  </si>
  <si>
    <t>Componente I. Obras y equipamientos para el control de la contaminación</t>
  </si>
  <si>
    <t>Desarrollo Comunitario</t>
  </si>
  <si>
    <t>BID
(US$)</t>
  </si>
  <si>
    <t>Total
(US$)</t>
  </si>
  <si>
    <t>1.1 Mejoramiento y Ampliación de la PTAR Puchucollo</t>
  </si>
  <si>
    <t>Componente II. Gestión integral de RSU en la CK</t>
  </si>
  <si>
    <t>Equipamiento</t>
  </si>
  <si>
    <t>Componente III. Fortalecimiento de la gestión de la CK</t>
  </si>
  <si>
    <t>Institucionalización de la Gestión de la Cuenca Katari</t>
  </si>
  <si>
    <t>Sistema de Gestion de Informacion y Monitoreo de la Cuenca</t>
  </si>
  <si>
    <t>4.1 Proyectos Demostrativos para MIC</t>
  </si>
  <si>
    <t>Proyectos demostrativos para el MIC Puerto Perez</t>
  </si>
  <si>
    <t>Proyectos demostrativos para el MIC Pucarani</t>
  </si>
  <si>
    <t>Proyectos demostrativos para el MIC Suriqui</t>
  </si>
  <si>
    <t>Especialista en Adquisiciones</t>
  </si>
  <si>
    <t>Especialista Ambiental</t>
  </si>
  <si>
    <t>Especialista en Planificación y Monitoreo</t>
  </si>
  <si>
    <t>Especialista Social (DESCOM)</t>
  </si>
  <si>
    <t>Ingeniero en Saneamiento</t>
  </si>
  <si>
    <t>Especialista en Residuos Sólidos</t>
  </si>
  <si>
    <t>Ingenieros Juniors</t>
  </si>
  <si>
    <t>Cantidad</t>
  </si>
  <si>
    <t>Apoyo Social</t>
  </si>
  <si>
    <t>Coordinador del Programa</t>
  </si>
  <si>
    <t>RECURSOS HUMANOS - UCP-PAAP / PROGRAMA BO-L 1118</t>
  </si>
  <si>
    <t xml:space="preserve">Recursos Humanos </t>
  </si>
  <si>
    <t>ADMINISTRACIÓN</t>
  </si>
  <si>
    <t>Total RRHH</t>
  </si>
  <si>
    <t>Redes y conexiones</t>
  </si>
  <si>
    <t>Combustible</t>
  </si>
  <si>
    <t>Supervisión otros proyectos</t>
  </si>
  <si>
    <t>US$/unidad</t>
  </si>
  <si>
    <t>Alquiler de Oficina</t>
  </si>
  <si>
    <t>US$/mes</t>
  </si>
  <si>
    <t>Diseño, desarrollo e implementación de un tablero control para la gestión de Programas en el UCP-PAAP</t>
  </si>
  <si>
    <t>US$/Año</t>
  </si>
  <si>
    <t>Total Auditoria, Monitoreo y Evaluación</t>
  </si>
  <si>
    <t>Gastos de Funcionamiento UCP-PAAP</t>
  </si>
  <si>
    <t>Insumo oficina</t>
  </si>
  <si>
    <t>PROGRAMA DE SANEAMIENTO DEL LAGO TITICACA</t>
  </si>
  <si>
    <t>BO-L 118</t>
  </si>
  <si>
    <t>Presupuesto Detallado</t>
  </si>
  <si>
    <t>Elaboración del Plan</t>
  </si>
  <si>
    <t>4.3 Plan de adaptación y gestión de riesgo para la Cuenca Katari</t>
  </si>
  <si>
    <t>Especialista en FI (incluye intervención Cuenca Katari)</t>
  </si>
  <si>
    <t>Equipo de Computación (computadora y software)</t>
  </si>
  <si>
    <t>Impresoras y Fotocopiadora (2)</t>
  </si>
  <si>
    <t>Levantamiento de Linea Base</t>
  </si>
  <si>
    <t>Suma Alzada</t>
  </si>
  <si>
    <t>Asesor Legal</t>
  </si>
  <si>
    <t>Enlace Viceministerio RSU</t>
  </si>
  <si>
    <t>Enlace Viceministerio VAPSB</t>
  </si>
  <si>
    <t>Seguro de vehiculos (2%)</t>
  </si>
  <si>
    <t>Costos operativos</t>
  </si>
  <si>
    <t>Mantenimiento de vehiculos</t>
  </si>
  <si>
    <t>Choferes/Mensajeros</t>
  </si>
  <si>
    <t>Evaluación final y Economica Expost</t>
  </si>
  <si>
    <t>Implementación de  la Estrategia Socio Comunicacional del Componente 1</t>
  </si>
  <si>
    <t>Implementación de  la Estrategia Socio Comunicacional del Componente 2</t>
  </si>
  <si>
    <t>Asesoría Externa en temas legales y adquisiciones.</t>
  </si>
  <si>
    <t>AUDITORIA, ASESORIAS, MONITOREO Y EVALUACIÓN</t>
  </si>
  <si>
    <t>UE
(US$)</t>
  </si>
  <si>
    <t>Obra Emisario de Puchucollo rehabilitado</t>
  </si>
  <si>
    <t>1.3 Sistema de alcantarillado sanitario construido y/o ampliado en localidades de la CK</t>
  </si>
  <si>
    <t>1.2 PTAR construida y/o ampliada en localidades de la CK</t>
  </si>
  <si>
    <t>1.4 Fortalecimiento Institucional a Operadores</t>
  </si>
  <si>
    <t>FI a Operadores de localidades de la CK</t>
  </si>
  <si>
    <t>1.5 Comunicación del Componente 1</t>
  </si>
  <si>
    <t xml:space="preserve">Vehículos para recolección de residuos sólidos </t>
  </si>
  <si>
    <t xml:space="preserve">Máquinas pesadas para la operación de rellenos sanitarios </t>
  </si>
  <si>
    <t>Contenedores para la recolección de residuos sólidos</t>
  </si>
  <si>
    <t>Obras de Relleno Sanitarios y obras complementarias</t>
  </si>
  <si>
    <t xml:space="preserve">Proyectos demostrativos para el MIC Pallina Medio </t>
  </si>
  <si>
    <t>Proyectos demostrativos para el MIC Katari</t>
  </si>
  <si>
    <t>Administración y FI</t>
  </si>
  <si>
    <t>Total FI</t>
  </si>
  <si>
    <t>Adquisición de servidor, equipamientos auxiliares, softwares para la UCP-PAAP</t>
  </si>
  <si>
    <t>Fortalecimiento Institucional SENASBA</t>
  </si>
  <si>
    <t>M&amp;E y Auditoria</t>
  </si>
  <si>
    <t>UE (US$)</t>
  </si>
  <si>
    <t>Asesorias especificas (consultoria y estudios)</t>
  </si>
  <si>
    <t>Obras Saneamiento.</t>
  </si>
  <si>
    <t>Obras PTAR</t>
  </si>
  <si>
    <t>Obra (incluye gestión de Lodos) PTAR de Puchucollo ampliada</t>
  </si>
  <si>
    <t>4.2 Manejo de Residuos Industriales</t>
  </si>
  <si>
    <t>Actualización del Censo Industrial e identificación de las industrias más contaminantes.</t>
  </si>
  <si>
    <t>Cierre de Botaderos del Alto</t>
  </si>
  <si>
    <t>Linea de base de olores (Panel de Olores y Medidores de Inmisión)</t>
  </si>
  <si>
    <t>Supervisión</t>
  </si>
  <si>
    <t>Elaboración de la Caracterización de Cuerpos Receptores del Area de Proyecto</t>
  </si>
  <si>
    <t>Estrategia de Comunicacion y Gestion Social.</t>
  </si>
  <si>
    <t>FI a Operador de Puchucollo (incluye diseño e implementación del Mecanismo de Resolución de Quejas)</t>
  </si>
  <si>
    <t>UE</t>
  </si>
  <si>
    <t>Desarrollo Comunitario (campañas de difusión)</t>
  </si>
  <si>
    <t>Desembolso BID (%)</t>
  </si>
  <si>
    <t>Desembolso UE (%)</t>
  </si>
  <si>
    <t>Desembolsos (%)</t>
  </si>
  <si>
    <t>Programa BO-L 1118</t>
  </si>
  <si>
    <t>Año1</t>
  </si>
  <si>
    <t>Año2</t>
  </si>
  <si>
    <t>Año3</t>
  </si>
  <si>
    <t>Año4</t>
  </si>
  <si>
    <t>Año5</t>
  </si>
  <si>
    <t>Desembolso BID Apalancamiento</t>
  </si>
  <si>
    <t>Desembolso BID Credito</t>
  </si>
  <si>
    <t>Desembolso UE</t>
  </si>
  <si>
    <t>% desembolso UE</t>
  </si>
  <si>
    <t>% desembolso BID</t>
  </si>
  <si>
    <t>Total MARNR</t>
  </si>
  <si>
    <t>Componente IV. Acciones estratégicas para la gestión de la 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</si>
</sst>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0" applyFont="1"/>
    <xf numFmtId="41" fontId="4" fillId="6" borderId="16" xfId="1" applyFont="1" applyFill="1" applyBorder="1" applyAlignment="1">
      <alignment horizontal="left"/>
    </xf>
    <xf numFmtId="41" fontId="4" fillId="0" borderId="21" xfId="1" applyFont="1" applyBorder="1"/>
    <xf numFmtId="41" fontId="4" fillId="0" borderId="7" xfId="1" applyFont="1" applyBorder="1"/>
    <xf numFmtId="41" fontId="4" fillId="0" borderId="8" xfId="1" applyFont="1" applyBorder="1"/>
    <xf numFmtId="41" fontId="4" fillId="0" borderId="16" xfId="1" applyFont="1" applyBorder="1"/>
    <xf numFmtId="41" fontId="4" fillId="0" borderId="11" xfId="1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 applyAlignment="1"/>
    <xf numFmtId="41" fontId="5" fillId="5" borderId="33" xfId="0" applyNumberFormat="1" applyFont="1" applyFill="1" applyBorder="1" applyAlignment="1">
      <alignment vertical="center"/>
    </xf>
    <xf numFmtId="41" fontId="5" fillId="5" borderId="2" xfId="0" applyNumberFormat="1" applyFont="1" applyFill="1" applyBorder="1" applyAlignment="1">
      <alignment vertical="center"/>
    </xf>
    <xf numFmtId="41" fontId="5" fillId="5" borderId="34" xfId="0" applyNumberFormat="1" applyFont="1" applyFill="1" applyBorder="1" applyAlignment="1">
      <alignment vertical="center"/>
    </xf>
    <xf numFmtId="41" fontId="5" fillId="5" borderId="1" xfId="0" applyNumberFormat="1" applyFont="1" applyFill="1" applyBorder="1" applyAlignment="1">
      <alignment vertical="center"/>
    </xf>
    <xf numFmtId="0" fontId="4" fillId="0" borderId="0" xfId="0" applyFont="1" applyBorder="1"/>
    <xf numFmtId="0" fontId="5" fillId="5" borderId="4" xfId="0" applyFont="1" applyFill="1" applyBorder="1" applyAlignment="1">
      <alignment horizontal="left" vertical="center" wrapText="1"/>
    </xf>
    <xf numFmtId="0" fontId="5" fillId="6" borderId="35" xfId="0" applyFont="1" applyFill="1" applyBorder="1"/>
    <xf numFmtId="41" fontId="5" fillId="6" borderId="36" xfId="0" applyNumberFormat="1" applyFont="1" applyFill="1" applyBorder="1"/>
    <xf numFmtId="0" fontId="5" fillId="6" borderId="7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 indent="1"/>
    </xf>
    <xf numFmtId="41" fontId="8" fillId="0" borderId="17" xfId="1" applyFont="1" applyBorder="1" applyAlignment="1">
      <alignment horizontal="center"/>
    </xf>
    <xf numFmtId="41" fontId="4" fillId="6" borderId="8" xfId="1" applyFont="1" applyFill="1" applyBorder="1" applyAlignment="1">
      <alignment horizontal="left"/>
    </xf>
    <xf numFmtId="41" fontId="8" fillId="0" borderId="46" xfId="1" applyFont="1" applyBorder="1" applyAlignment="1">
      <alignment horizontal="center"/>
    </xf>
    <xf numFmtId="41" fontId="8" fillId="0" borderId="23" xfId="1" applyFont="1" applyBorder="1" applyAlignment="1">
      <alignment horizontal="center"/>
    </xf>
    <xf numFmtId="41" fontId="8" fillId="0" borderId="45" xfId="1" applyFont="1" applyBorder="1" applyAlignment="1">
      <alignment horizontal="center"/>
    </xf>
    <xf numFmtId="41" fontId="4" fillId="6" borderId="7" xfId="1" applyFont="1" applyFill="1" applyBorder="1" applyAlignment="1">
      <alignment horizontal="left"/>
    </xf>
    <xf numFmtId="41" fontId="4" fillId="6" borderId="11" xfId="1" applyFont="1" applyFill="1" applyBorder="1" applyAlignment="1">
      <alignment horizontal="left"/>
    </xf>
    <xf numFmtId="41" fontId="5" fillId="5" borderId="2" xfId="0" applyNumberFormat="1" applyFont="1" applyFill="1" applyBorder="1" applyAlignment="1"/>
    <xf numFmtId="41" fontId="5" fillId="6" borderId="8" xfId="1" applyNumberFormat="1" applyFont="1" applyFill="1" applyBorder="1" applyAlignment="1">
      <alignment horizontal="left"/>
    </xf>
    <xf numFmtId="41" fontId="4" fillId="0" borderId="8" xfId="1" applyNumberFormat="1" applyFont="1" applyBorder="1"/>
    <xf numFmtId="41" fontId="4" fillId="0" borderId="0" xfId="0" applyNumberFormat="1" applyFont="1" applyBorder="1" applyAlignment="1"/>
    <xf numFmtId="0" fontId="4" fillId="0" borderId="7" xfId="0" applyFont="1" applyBorder="1" applyAlignment="1">
      <alignment horizontal="left" wrapText="1" indent="1"/>
    </xf>
    <xf numFmtId="41" fontId="4" fillId="0" borderId="0" xfId="0" applyNumberFormat="1" applyFont="1"/>
    <xf numFmtId="41" fontId="4" fillId="0" borderId="18" xfId="1" applyNumberFormat="1" applyFont="1" applyBorder="1"/>
    <xf numFmtId="0" fontId="0" fillId="0" borderId="49" xfId="0" applyBorder="1" applyAlignment="1">
      <alignment horizontal="left"/>
    </xf>
    <xf numFmtId="0" fontId="0" fillId="0" borderId="7" xfId="0" applyBorder="1" applyAlignment="1">
      <alignment horizontal="left"/>
    </xf>
    <xf numFmtId="0" fontId="11" fillId="0" borderId="0" xfId="0" applyFont="1"/>
    <xf numFmtId="41" fontId="4" fillId="0" borderId="11" xfId="1" applyFont="1" applyBorder="1" applyAlignment="1">
      <alignment horizontal="left" wrapText="1" inden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3" fontId="12" fillId="0" borderId="0" xfId="2" applyFont="1" applyAlignment="1">
      <alignment vertical="center"/>
    </xf>
    <xf numFmtId="0" fontId="11" fillId="9" borderId="0" xfId="0" applyFont="1" applyFill="1" applyAlignment="1">
      <alignment vertical="center"/>
    </xf>
    <xf numFmtId="0" fontId="12" fillId="7" borderId="0" xfId="0" applyFont="1" applyFill="1" applyAlignment="1">
      <alignment vertical="center" wrapText="1"/>
    </xf>
    <xf numFmtId="43" fontId="13" fillId="6" borderId="8" xfId="2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0" fillId="8" borderId="8" xfId="0" applyFont="1" applyFill="1" applyBorder="1" applyAlignment="1">
      <alignment vertical="center" wrapText="1"/>
    </xf>
    <xf numFmtId="43" fontId="11" fillId="0" borderId="11" xfId="2" applyFont="1" applyBorder="1" applyAlignment="1">
      <alignment vertical="center"/>
    </xf>
    <xf numFmtId="0" fontId="11" fillId="0" borderId="8" xfId="2" applyNumberFormat="1" applyFont="1" applyBorder="1" applyAlignment="1">
      <alignment horizontal="center" vertical="center"/>
    </xf>
    <xf numFmtId="43" fontId="11" fillId="0" borderId="8" xfId="2" applyNumberFormat="1" applyFont="1" applyBorder="1" applyAlignment="1">
      <alignment vertical="center"/>
    </xf>
    <xf numFmtId="43" fontId="11" fillId="0" borderId="8" xfId="2" applyFont="1" applyBorder="1" applyAlignment="1">
      <alignment vertical="center"/>
    </xf>
    <xf numFmtId="43" fontId="11" fillId="0" borderId="8" xfId="2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43" fontId="12" fillId="0" borderId="8" xfId="2" applyFont="1" applyBorder="1" applyAlignment="1">
      <alignment vertical="center"/>
    </xf>
    <xf numFmtId="43" fontId="13" fillId="0" borderId="8" xfId="2" applyFont="1" applyBorder="1" applyAlignment="1">
      <alignment vertical="center"/>
    </xf>
    <xf numFmtId="0" fontId="11" fillId="0" borderId="0" xfId="0" applyFont="1" applyAlignment="1">
      <alignment vertical="center" wrapText="1"/>
    </xf>
    <xf numFmtId="43" fontId="11" fillId="0" borderId="0" xfId="0" applyNumberFormat="1" applyFont="1" applyAlignment="1">
      <alignment vertical="center"/>
    </xf>
    <xf numFmtId="41" fontId="5" fillId="5" borderId="56" xfId="0" applyNumberFormat="1" applyFont="1" applyFill="1" applyBorder="1" applyAlignment="1"/>
    <xf numFmtId="41" fontId="8" fillId="0" borderId="28" xfId="1" applyFont="1" applyBorder="1" applyAlignment="1">
      <alignment horizontal="center"/>
    </xf>
    <xf numFmtId="41" fontId="8" fillId="0" borderId="57" xfId="1" applyFont="1" applyBorder="1" applyAlignment="1">
      <alignment horizontal="center"/>
    </xf>
    <xf numFmtId="41" fontId="8" fillId="0" borderId="58" xfId="1" applyFont="1" applyBorder="1" applyAlignment="1">
      <alignment horizontal="center"/>
    </xf>
    <xf numFmtId="0" fontId="14" fillId="0" borderId="7" xfId="0" applyFont="1" applyBorder="1" applyAlignment="1">
      <alignment horizontal="left" indent="3"/>
    </xf>
    <xf numFmtId="41" fontId="14" fillId="0" borderId="8" xfId="1" applyNumberFormat="1" applyFont="1" applyBorder="1"/>
    <xf numFmtId="41" fontId="14" fillId="0" borderId="7" xfId="1" applyFont="1" applyBorder="1"/>
    <xf numFmtId="41" fontId="14" fillId="0" borderId="11" xfId="1" applyFont="1" applyBorder="1"/>
    <xf numFmtId="41" fontId="14" fillId="0" borderId="8" xfId="1" applyFont="1" applyBorder="1"/>
    <xf numFmtId="0" fontId="14" fillId="0" borderId="0" xfId="0" applyFont="1"/>
    <xf numFmtId="41" fontId="8" fillId="0" borderId="8" xfId="1" applyNumberFormat="1" applyFont="1" applyBorder="1"/>
    <xf numFmtId="41" fontId="8" fillId="0" borderId="7" xfId="1" applyFont="1" applyBorder="1"/>
    <xf numFmtId="41" fontId="8" fillId="0" borderId="11" xfId="1" applyFont="1" applyBorder="1"/>
    <xf numFmtId="41" fontId="8" fillId="0" borderId="8" xfId="1" applyFont="1" applyBorder="1"/>
    <xf numFmtId="41" fontId="8" fillId="0" borderId="0" xfId="0" applyNumberFormat="1" applyFont="1"/>
    <xf numFmtId="0" fontId="8" fillId="0" borderId="0" xfId="0" applyFont="1"/>
    <xf numFmtId="41" fontId="5" fillId="5" borderId="1" xfId="0" applyNumberFormat="1" applyFont="1" applyFill="1" applyBorder="1" applyAlignment="1"/>
    <xf numFmtId="41" fontId="5" fillId="5" borderId="34" xfId="0" applyNumberFormat="1" applyFont="1" applyFill="1" applyBorder="1" applyAlignment="1"/>
    <xf numFmtId="41" fontId="14" fillId="0" borderId="16" xfId="1" applyFont="1" applyBorder="1"/>
    <xf numFmtId="0" fontId="11" fillId="0" borderId="28" xfId="0" applyFont="1" applyBorder="1" applyAlignment="1">
      <alignment horizontal="left" indent="1"/>
    </xf>
    <xf numFmtId="41" fontId="11" fillId="0" borderId="29" xfId="1" applyNumberFormat="1" applyFont="1" applyBorder="1"/>
    <xf numFmtId="41" fontId="11" fillId="0" borderId="57" xfId="1" applyFont="1" applyBorder="1"/>
    <xf numFmtId="41" fontId="11" fillId="0" borderId="29" xfId="1" applyFont="1" applyBorder="1"/>
    <xf numFmtId="41" fontId="11" fillId="0" borderId="28" xfId="1" applyFont="1" applyBorder="1"/>
    <xf numFmtId="41" fontId="4" fillId="0" borderId="28" xfId="1" applyFont="1" applyBorder="1"/>
    <xf numFmtId="41" fontId="4" fillId="0" borderId="30" xfId="1" applyFont="1" applyBorder="1"/>
    <xf numFmtId="0" fontId="4" fillId="0" borderId="28" xfId="0" applyFont="1" applyBorder="1" applyAlignment="1">
      <alignment horizontal="left" indent="1"/>
    </xf>
    <xf numFmtId="41" fontId="4" fillId="0" borderId="29" xfId="1" applyNumberFormat="1" applyFont="1" applyBorder="1"/>
    <xf numFmtId="41" fontId="4" fillId="0" borderId="57" xfId="1" applyFont="1" applyBorder="1"/>
    <xf numFmtId="41" fontId="4" fillId="0" borderId="29" xfId="1" applyFont="1" applyBorder="1"/>
    <xf numFmtId="41" fontId="5" fillId="5" borderId="33" xfId="0" applyNumberFormat="1" applyFont="1" applyFill="1" applyBorder="1" applyAlignment="1"/>
    <xf numFmtId="41" fontId="5" fillId="6" borderId="12" xfId="1" applyNumberFormat="1" applyFont="1" applyFill="1" applyBorder="1" applyAlignment="1">
      <alignment horizontal="left"/>
    </xf>
    <xf numFmtId="41" fontId="4" fillId="0" borderId="12" xfId="1" applyNumberFormat="1" applyFont="1" applyBorder="1"/>
    <xf numFmtId="41" fontId="4" fillId="0" borderId="59" xfId="1" applyNumberFormat="1" applyFont="1" applyBorder="1"/>
    <xf numFmtId="41" fontId="5" fillId="5" borderId="60" xfId="0" applyNumberFormat="1" applyFont="1" applyFill="1" applyBorder="1" applyAlignment="1"/>
    <xf numFmtId="41" fontId="5" fillId="6" borderId="11" xfId="1" applyNumberFormat="1" applyFont="1" applyFill="1" applyBorder="1" applyAlignment="1">
      <alignment horizontal="left"/>
    </xf>
    <xf numFmtId="41" fontId="5" fillId="6" borderId="7" xfId="1" applyNumberFormat="1" applyFont="1" applyFill="1" applyBorder="1" applyAlignment="1">
      <alignment horizontal="left"/>
    </xf>
    <xf numFmtId="41" fontId="5" fillId="6" borderId="16" xfId="1" applyNumberFormat="1" applyFont="1" applyFill="1" applyBorder="1" applyAlignment="1">
      <alignment horizontal="left"/>
    </xf>
    <xf numFmtId="41" fontId="4" fillId="0" borderId="13" xfId="1" applyFont="1" applyBorder="1"/>
    <xf numFmtId="41" fontId="8" fillId="0" borderId="61" xfId="1" applyFont="1" applyBorder="1" applyAlignment="1">
      <alignment horizontal="center"/>
    </xf>
    <xf numFmtId="41" fontId="4" fillId="0" borderId="12" xfId="1" applyFont="1" applyBorder="1"/>
    <xf numFmtId="41" fontId="4" fillId="0" borderId="14" xfId="1" applyFont="1" applyBorder="1"/>
    <xf numFmtId="41" fontId="4" fillId="6" borderId="12" xfId="1" applyFont="1" applyFill="1" applyBorder="1" applyAlignment="1">
      <alignment horizontal="left"/>
    </xf>
    <xf numFmtId="41" fontId="4" fillId="0" borderId="59" xfId="1" applyFont="1" applyBorder="1"/>
    <xf numFmtId="41" fontId="5" fillId="5" borderId="62" xfId="0" applyNumberFormat="1" applyFont="1" applyFill="1" applyBorder="1" applyAlignment="1"/>
    <xf numFmtId="41" fontId="14" fillId="0" borderId="12" xfId="1" applyNumberFormat="1" applyFont="1" applyBorder="1"/>
    <xf numFmtId="41" fontId="11" fillId="0" borderId="59" xfId="1" applyNumberFormat="1" applyFont="1" applyBorder="1"/>
    <xf numFmtId="41" fontId="14" fillId="0" borderId="13" xfId="1" applyFont="1" applyBorder="1"/>
    <xf numFmtId="41" fontId="11" fillId="0" borderId="30" xfId="1" applyFont="1" applyBorder="1"/>
    <xf numFmtId="41" fontId="14" fillId="0" borderId="14" xfId="1" applyFont="1" applyBorder="1"/>
    <xf numFmtId="41" fontId="11" fillId="0" borderId="59" xfId="1" applyFont="1" applyBorder="1"/>
    <xf numFmtId="41" fontId="5" fillId="6" borderId="16" xfId="1" applyFont="1" applyFill="1" applyBorder="1" applyAlignment="1">
      <alignment horizontal="left"/>
    </xf>
    <xf numFmtId="41" fontId="4" fillId="0" borderId="63" xfId="1" applyNumberFormat="1" applyFont="1" applyBorder="1"/>
    <xf numFmtId="41" fontId="11" fillId="7" borderId="63" xfId="1" applyNumberFormat="1" applyFont="1" applyFill="1" applyBorder="1"/>
    <xf numFmtId="41" fontId="5" fillId="6" borderId="40" xfId="0" applyNumberFormat="1" applyFont="1" applyFill="1" applyBorder="1"/>
    <xf numFmtId="41" fontId="4" fillId="0" borderId="9" xfId="1" applyFont="1" applyBorder="1"/>
    <xf numFmtId="41" fontId="5" fillId="5" borderId="60" xfId="0" applyNumberFormat="1" applyFont="1" applyFill="1" applyBorder="1" applyAlignment="1">
      <alignment vertical="center"/>
    </xf>
    <xf numFmtId="41" fontId="4" fillId="0" borderId="52" xfId="1" applyFont="1" applyBorder="1"/>
    <xf numFmtId="41" fontId="4" fillId="0" borderId="64" xfId="1" applyFont="1" applyBorder="1"/>
    <xf numFmtId="0" fontId="4" fillId="0" borderId="22" xfId="0" applyFont="1" applyBorder="1" applyAlignment="1"/>
    <xf numFmtId="0" fontId="4" fillId="0" borderId="51" xfId="0" applyFont="1" applyBorder="1" applyAlignment="1"/>
    <xf numFmtId="41" fontId="4" fillId="0" borderId="65" xfId="1" applyFont="1" applyBorder="1"/>
    <xf numFmtId="41" fontId="5" fillId="6" borderId="11" xfId="1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41" fontId="5" fillId="11" borderId="35" xfId="0" applyNumberFormat="1" applyFont="1" applyFill="1" applyBorder="1"/>
    <xf numFmtId="41" fontId="5" fillId="11" borderId="36" xfId="0" applyNumberFormat="1" applyFont="1" applyFill="1" applyBorder="1"/>
    <xf numFmtId="41" fontId="5" fillId="4" borderId="36" xfId="0" applyNumberFormat="1" applyFont="1" applyFill="1" applyBorder="1"/>
    <xf numFmtId="41" fontId="5" fillId="4" borderId="37" xfId="0" applyNumberFormat="1" applyFont="1" applyFill="1" applyBorder="1"/>
    <xf numFmtId="9" fontId="4" fillId="0" borderId="0" xfId="3" applyFont="1"/>
    <xf numFmtId="0" fontId="6" fillId="2" borderId="5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164" fontId="8" fillId="0" borderId="8" xfId="2" applyNumberFormat="1" applyFont="1" applyBorder="1"/>
    <xf numFmtId="41" fontId="8" fillId="0" borderId="8" xfId="0" applyNumberFormat="1" applyFont="1" applyBorder="1"/>
    <xf numFmtId="41" fontId="8" fillId="0" borderId="0" xfId="1" applyFont="1"/>
    <xf numFmtId="0" fontId="8" fillId="0" borderId="0" xfId="0" applyFont="1" applyAlignment="1">
      <alignment wrapText="1"/>
    </xf>
    <xf numFmtId="0" fontId="8" fillId="0" borderId="8" xfId="0" applyFont="1" applyBorder="1" applyAlignment="1">
      <alignment horizontal="center"/>
    </xf>
    <xf numFmtId="164" fontId="8" fillId="0" borderId="11" xfId="2" applyNumberFormat="1" applyFont="1" applyBorder="1"/>
    <xf numFmtId="164" fontId="8" fillId="0" borderId="7" xfId="2" applyNumberFormat="1" applyFont="1" applyBorder="1"/>
    <xf numFmtId="164" fontId="8" fillId="0" borderId="16" xfId="2" applyNumberFormat="1" applyFont="1" applyBorder="1"/>
    <xf numFmtId="41" fontId="15" fillId="6" borderId="28" xfId="0" applyNumberFormat="1" applyFont="1" applyFill="1" applyBorder="1" applyAlignment="1">
      <alignment horizontal="center"/>
    </xf>
    <xf numFmtId="41" fontId="15" fillId="6" borderId="29" xfId="0" applyNumberFormat="1" applyFont="1" applyFill="1" applyBorder="1" applyAlignment="1">
      <alignment horizontal="center"/>
    </xf>
    <xf numFmtId="41" fontId="15" fillId="6" borderId="30" xfId="0" applyNumberFormat="1" applyFont="1" applyFill="1" applyBorder="1" applyAlignment="1">
      <alignment horizontal="center"/>
    </xf>
    <xf numFmtId="164" fontId="8" fillId="0" borderId="12" xfId="2" applyNumberFormat="1" applyFont="1" applyBorder="1"/>
    <xf numFmtId="41" fontId="15" fillId="6" borderId="57" xfId="0" applyNumberFormat="1" applyFont="1" applyFill="1" applyBorder="1" applyAlignment="1">
      <alignment horizontal="center"/>
    </xf>
    <xf numFmtId="41" fontId="15" fillId="6" borderId="59" xfId="0" applyNumberFormat="1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41" fontId="8" fillId="0" borderId="16" xfId="1" applyNumberFormat="1" applyFont="1" applyBorder="1"/>
    <xf numFmtId="0" fontId="8" fillId="0" borderId="7" xfId="0" applyFont="1" applyBorder="1" applyAlignment="1">
      <alignment horizontal="left" vertical="center" wrapText="1"/>
    </xf>
    <xf numFmtId="41" fontId="8" fillId="0" borderId="16" xfId="0" applyNumberFormat="1" applyFont="1" applyBorder="1"/>
    <xf numFmtId="0" fontId="15" fillId="6" borderId="28" xfId="0" applyFont="1" applyFill="1" applyBorder="1" applyAlignment="1">
      <alignment wrapText="1"/>
    </xf>
    <xf numFmtId="41" fontId="15" fillId="6" borderId="37" xfId="0" applyNumberFormat="1" applyFont="1" applyFill="1" applyBorder="1" applyAlignment="1">
      <alignment horizontal="center"/>
    </xf>
    <xf numFmtId="41" fontId="15" fillId="6" borderId="42" xfId="0" applyNumberFormat="1" applyFont="1" applyFill="1" applyBorder="1" applyAlignment="1">
      <alignment horizontal="center"/>
    </xf>
    <xf numFmtId="9" fontId="15" fillId="3" borderId="35" xfId="3" applyFont="1" applyFill="1" applyBorder="1" applyAlignment="1">
      <alignment horizontal="center"/>
    </xf>
    <xf numFmtId="9" fontId="15" fillId="3" borderId="36" xfId="3" applyFont="1" applyFill="1" applyBorder="1" applyAlignment="1">
      <alignment horizontal="center"/>
    </xf>
    <xf numFmtId="9" fontId="15" fillId="4" borderId="36" xfId="3" applyFont="1" applyFill="1" applyBorder="1" applyAlignment="1">
      <alignment horizontal="center"/>
    </xf>
    <xf numFmtId="9" fontId="15" fillId="4" borderId="37" xfId="3" applyFont="1" applyFill="1" applyBorder="1" applyAlignment="1">
      <alignment horizontal="center"/>
    </xf>
    <xf numFmtId="0" fontId="8" fillId="0" borderId="8" xfId="0" applyFont="1" applyBorder="1" applyAlignment="1">
      <alignment wrapText="1"/>
    </xf>
    <xf numFmtId="9" fontId="8" fillId="0" borderId="8" xfId="0" applyNumberFormat="1" applyFont="1" applyBorder="1" applyAlignment="1">
      <alignment horizontal="center"/>
    </xf>
    <xf numFmtId="41" fontId="8" fillId="3" borderId="14" xfId="1" applyFont="1" applyFill="1" applyBorder="1" applyAlignment="1">
      <alignment horizontal="center"/>
    </xf>
    <xf numFmtId="41" fontId="8" fillId="4" borderId="12" xfId="1" applyFont="1" applyFill="1" applyBorder="1" applyAlignment="1">
      <alignment horizontal="center"/>
    </xf>
    <xf numFmtId="41" fontId="8" fillId="3" borderId="10" xfId="1" applyFont="1" applyFill="1" applyBorder="1" applyAlignment="1">
      <alignment horizontal="center"/>
    </xf>
    <xf numFmtId="41" fontId="15" fillId="6" borderId="8" xfId="1" applyFont="1" applyFill="1" applyBorder="1" applyAlignment="1">
      <alignment horizontal="left"/>
    </xf>
    <xf numFmtId="0" fontId="15" fillId="0" borderId="0" xfId="0" applyFont="1"/>
    <xf numFmtId="41" fontId="8" fillId="7" borderId="8" xfId="1" applyFont="1" applyFill="1" applyBorder="1"/>
    <xf numFmtId="41" fontId="8" fillId="7" borderId="11" xfId="1" applyFont="1" applyFill="1" applyBorder="1"/>
    <xf numFmtId="41" fontId="8" fillId="7" borderId="7" xfId="1" applyFont="1" applyFill="1" applyBorder="1"/>
    <xf numFmtId="0" fontId="8" fillId="7" borderId="0" xfId="0" applyFont="1" applyFill="1"/>
    <xf numFmtId="41" fontId="15" fillId="6" borderId="11" xfId="1" applyFont="1" applyFill="1" applyBorder="1" applyAlignment="1">
      <alignment horizontal="left"/>
    </xf>
    <xf numFmtId="41" fontId="15" fillId="6" borderId="7" xfId="1" applyFont="1" applyFill="1" applyBorder="1" applyAlignment="1">
      <alignment horizontal="left"/>
    </xf>
    <xf numFmtId="49" fontId="16" fillId="0" borderId="7" xfId="0" applyNumberFormat="1" applyFont="1" applyBorder="1" applyAlignment="1"/>
    <xf numFmtId="49" fontId="17" fillId="0" borderId="7" xfId="0" applyNumberFormat="1" applyFont="1" applyBorder="1" applyAlignment="1"/>
    <xf numFmtId="41" fontId="17" fillId="0" borderId="8" xfId="1" applyFont="1" applyBorder="1"/>
    <xf numFmtId="41" fontId="17" fillId="0" borderId="11" xfId="1" applyFont="1" applyBorder="1"/>
    <xf numFmtId="41" fontId="17" fillId="0" borderId="7" xfId="1" applyFont="1" applyBorder="1"/>
    <xf numFmtId="0" fontId="17" fillId="0" borderId="0" xfId="0" applyFont="1"/>
    <xf numFmtId="41" fontId="17" fillId="0" borderId="8" xfId="1" applyFont="1" applyFill="1" applyBorder="1"/>
    <xf numFmtId="41" fontId="15" fillId="5" borderId="26" xfId="0" applyNumberFormat="1" applyFont="1" applyFill="1" applyBorder="1" applyAlignment="1"/>
    <xf numFmtId="41" fontId="15" fillId="5" borderId="42" xfId="0" applyNumberFormat="1" applyFont="1" applyFill="1" applyBorder="1" applyAlignment="1"/>
    <xf numFmtId="41" fontId="15" fillId="5" borderId="35" xfId="0" applyNumberFormat="1" applyFont="1" applyFill="1" applyBorder="1" applyAlignment="1"/>
    <xf numFmtId="9" fontId="15" fillId="0" borderId="0" xfId="3" applyFont="1"/>
    <xf numFmtId="41" fontId="15" fillId="0" borderId="0" xfId="1" applyFont="1"/>
    <xf numFmtId="41" fontId="15" fillId="0" borderId="0" xfId="0" applyNumberFormat="1" applyFont="1"/>
    <xf numFmtId="49" fontId="16" fillId="0" borderId="7" xfId="0" applyNumberFormat="1" applyFont="1" applyBorder="1" applyAlignment="1">
      <alignment wrapText="1"/>
    </xf>
    <xf numFmtId="41" fontId="17" fillId="7" borderId="8" xfId="1" applyFont="1" applyFill="1" applyBorder="1"/>
    <xf numFmtId="49" fontId="16" fillId="0" borderId="22" xfId="0" applyNumberFormat="1" applyFont="1" applyBorder="1" applyAlignment="1">
      <alignment wrapText="1"/>
    </xf>
    <xf numFmtId="41" fontId="8" fillId="0" borderId="52" xfId="1" applyFont="1" applyBorder="1"/>
    <xf numFmtId="49" fontId="17" fillId="0" borderId="8" xfId="0" applyNumberFormat="1" applyFont="1" applyBorder="1" applyAlignment="1">
      <alignment wrapText="1"/>
    </xf>
    <xf numFmtId="49" fontId="17" fillId="0" borderId="8" xfId="0" applyNumberFormat="1" applyFont="1" applyBorder="1" applyAlignment="1">
      <alignment horizontal="center" wrapText="1"/>
    </xf>
    <xf numFmtId="41" fontId="17" fillId="0" borderId="8" xfId="1" applyFont="1" applyBorder="1" applyAlignment="1">
      <alignment wrapText="1"/>
    </xf>
    <xf numFmtId="49" fontId="16" fillId="0" borderId="8" xfId="0" applyNumberFormat="1" applyFont="1" applyBorder="1" applyAlignment="1">
      <alignment wrapText="1"/>
    </xf>
    <xf numFmtId="49" fontId="16" fillId="0" borderId="8" xfId="0" applyNumberFormat="1" applyFont="1" applyBorder="1" applyAlignment="1">
      <alignment horizontal="center" wrapText="1"/>
    </xf>
    <xf numFmtId="41" fontId="16" fillId="0" borderId="8" xfId="1" applyFont="1" applyBorder="1" applyAlignment="1">
      <alignment wrapText="1"/>
    </xf>
    <xf numFmtId="41" fontId="8" fillId="0" borderId="28" xfId="1" applyFont="1" applyBorder="1"/>
    <xf numFmtId="41" fontId="8" fillId="0" borderId="29" xfId="1" applyFont="1" applyBorder="1"/>
    <xf numFmtId="0" fontId="15" fillId="6" borderId="1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left"/>
    </xf>
    <xf numFmtId="41" fontId="15" fillId="6" borderId="2" xfId="1" applyFont="1" applyFill="1" applyBorder="1" applyAlignment="1">
      <alignment horizontal="left"/>
    </xf>
    <xf numFmtId="41" fontId="15" fillId="6" borderId="1" xfId="1" applyFont="1" applyFill="1" applyBorder="1" applyAlignment="1">
      <alignment horizontal="left"/>
    </xf>
    <xf numFmtId="41" fontId="8" fillId="0" borderId="16" xfId="1" applyFont="1" applyBorder="1"/>
    <xf numFmtId="41" fontId="8" fillId="0" borderId="51" xfId="1" applyFont="1" applyBorder="1"/>
    <xf numFmtId="41" fontId="15" fillId="5" borderId="53" xfId="0" applyNumberFormat="1" applyFont="1" applyFill="1" applyBorder="1" applyAlignment="1"/>
    <xf numFmtId="49" fontId="17" fillId="0" borderId="23" xfId="0" applyNumberFormat="1" applyFont="1" applyBorder="1" applyAlignment="1"/>
    <xf numFmtId="0" fontId="17" fillId="0" borderId="18" xfId="0" applyFont="1" applyBorder="1" applyAlignment="1">
      <alignment horizontal="center"/>
    </xf>
    <xf numFmtId="41" fontId="17" fillId="0" borderId="18" xfId="1" applyFont="1" applyBorder="1"/>
    <xf numFmtId="41" fontId="8" fillId="0" borderId="18" xfId="1" applyFont="1" applyBorder="1"/>
    <xf numFmtId="41" fontId="17" fillId="0" borderId="17" xfId="1" applyFont="1" applyBorder="1"/>
    <xf numFmtId="41" fontId="17" fillId="0" borderId="23" xfId="1" applyFont="1" applyBorder="1"/>
    <xf numFmtId="41" fontId="8" fillId="7" borderId="16" xfId="1" applyFont="1" applyFill="1" applyBorder="1"/>
    <xf numFmtId="41" fontId="15" fillId="6" borderId="12" xfId="1" applyFont="1" applyFill="1" applyBorder="1" applyAlignment="1">
      <alignment horizontal="left"/>
    </xf>
    <xf numFmtId="41" fontId="8" fillId="7" borderId="12" xfId="1" applyFont="1" applyFill="1" applyBorder="1"/>
    <xf numFmtId="41" fontId="8" fillId="0" borderId="12" xfId="1" applyFont="1" applyBorder="1"/>
    <xf numFmtId="41" fontId="17" fillId="0" borderId="12" xfId="1" applyFont="1" applyBorder="1"/>
    <xf numFmtId="41" fontId="17" fillId="0" borderId="63" xfId="1" applyFont="1" applyBorder="1"/>
    <xf numFmtId="41" fontId="15" fillId="5" borderId="41" xfId="0" applyNumberFormat="1" applyFont="1" applyFill="1" applyBorder="1" applyAlignment="1"/>
    <xf numFmtId="41" fontId="15" fillId="6" borderId="45" xfId="1" applyFont="1" applyFill="1" applyBorder="1" applyAlignment="1">
      <alignment horizontal="left"/>
    </xf>
    <xf numFmtId="41" fontId="8" fillId="7" borderId="13" xfId="1" applyFont="1" applyFill="1" applyBorder="1"/>
    <xf numFmtId="41" fontId="8" fillId="7" borderId="45" xfId="1" applyFont="1" applyFill="1" applyBorder="1"/>
    <xf numFmtId="41" fontId="15" fillId="5" borderId="43" xfId="0" applyNumberFormat="1" applyFont="1" applyFill="1" applyBorder="1" applyAlignment="1"/>
    <xf numFmtId="41" fontId="8" fillId="4" borderId="16" xfId="1" applyFont="1" applyFill="1" applyBorder="1" applyAlignment="1">
      <alignment horizontal="center"/>
    </xf>
    <xf numFmtId="41" fontId="15" fillId="6" borderId="16" xfId="1" applyFont="1" applyFill="1" applyBorder="1" applyAlignment="1">
      <alignment horizontal="left"/>
    </xf>
    <xf numFmtId="41" fontId="17" fillId="0" borderId="16" xfId="1" applyFont="1" applyBorder="1"/>
    <xf numFmtId="41" fontId="17" fillId="0" borderId="19" xfId="1" applyFont="1" applyBorder="1"/>
    <xf numFmtId="41" fontId="15" fillId="5" borderId="39" xfId="0" applyNumberFormat="1" applyFont="1" applyFill="1" applyBorder="1" applyAlignment="1"/>
    <xf numFmtId="0" fontId="8" fillId="0" borderId="18" xfId="0" applyFont="1" applyBorder="1" applyAlignment="1">
      <alignment horizontal="center"/>
    </xf>
    <xf numFmtId="41" fontId="15" fillId="6" borderId="33" xfId="1" applyFont="1" applyFill="1" applyBorder="1" applyAlignment="1">
      <alignment horizontal="left"/>
    </xf>
    <xf numFmtId="41" fontId="8" fillId="0" borderId="0" xfId="1" applyFont="1" applyBorder="1"/>
    <xf numFmtId="41" fontId="15" fillId="6" borderId="6" xfId="1" applyFont="1" applyFill="1" applyBorder="1" applyAlignment="1">
      <alignment horizontal="left"/>
    </xf>
    <xf numFmtId="41" fontId="8" fillId="0" borderId="63" xfId="1" applyFont="1" applyBorder="1"/>
    <xf numFmtId="41" fontId="8" fillId="0" borderId="24" xfId="1" applyFont="1" applyBorder="1"/>
    <xf numFmtId="41" fontId="8" fillId="0" borderId="39" xfId="1" applyFont="1" applyBorder="1"/>
    <xf numFmtId="41" fontId="15" fillId="6" borderId="5" xfId="1" applyFont="1" applyFill="1" applyBorder="1" applyAlignment="1">
      <alignment horizontal="left"/>
    </xf>
    <xf numFmtId="41" fontId="8" fillId="7" borderId="69" xfId="1" applyFont="1" applyFill="1" applyBorder="1"/>
    <xf numFmtId="41" fontId="15" fillId="6" borderId="67" xfId="1" applyFont="1" applyFill="1" applyBorder="1" applyAlignment="1">
      <alignment horizontal="left"/>
    </xf>
    <xf numFmtId="41" fontId="15" fillId="5" borderId="25" xfId="0" applyNumberFormat="1" applyFont="1" applyFill="1" applyBorder="1" applyAlignment="1"/>
    <xf numFmtId="41" fontId="8" fillId="0" borderId="57" xfId="1" applyFont="1" applyBorder="1"/>
    <xf numFmtId="41" fontId="8" fillId="0" borderId="30" xfId="1" applyFont="1" applyBorder="1"/>
    <xf numFmtId="41" fontId="15" fillId="5" borderId="24" xfId="0" applyNumberFormat="1" applyFont="1" applyFill="1" applyBorder="1" applyAlignment="1"/>
    <xf numFmtId="41" fontId="8" fillId="0" borderId="59" xfId="1" applyFont="1" applyBorder="1"/>
    <xf numFmtId="43" fontId="8" fillId="0" borderId="0" xfId="2" applyFont="1"/>
    <xf numFmtId="164" fontId="4" fillId="0" borderId="0" xfId="0" applyNumberFormat="1" applyFont="1"/>
    <xf numFmtId="0" fontId="8" fillId="3" borderId="8" xfId="0" applyFont="1" applyFill="1" applyBorder="1" applyAlignment="1">
      <alignment wrapText="1"/>
    </xf>
    <xf numFmtId="41" fontId="8" fillId="3" borderId="8" xfId="0" applyNumberFormat="1" applyFont="1" applyFill="1" applyBorder="1"/>
    <xf numFmtId="9" fontId="8" fillId="3" borderId="8" xfId="3" applyFont="1" applyFill="1" applyBorder="1"/>
    <xf numFmtId="0" fontId="8" fillId="12" borderId="8" xfId="0" applyFont="1" applyFill="1" applyBorder="1" applyAlignment="1">
      <alignment wrapText="1"/>
    </xf>
    <xf numFmtId="41" fontId="8" fillId="12" borderId="8" xfId="0" applyNumberFormat="1" applyFont="1" applyFill="1" applyBorder="1"/>
    <xf numFmtId="9" fontId="8" fillId="12" borderId="8" xfId="3" applyFont="1" applyFill="1" applyBorder="1"/>
    <xf numFmtId="0" fontId="15" fillId="0" borderId="8" xfId="0" applyFont="1" applyBorder="1" applyAlignment="1">
      <alignment wrapText="1"/>
    </xf>
    <xf numFmtId="41" fontId="15" fillId="0" borderId="8" xfId="0" applyNumberFormat="1" applyFont="1" applyBorder="1"/>
    <xf numFmtId="164" fontId="15" fillId="0" borderId="8" xfId="2" applyNumberFormat="1" applyFont="1" applyBorder="1"/>
    <xf numFmtId="41" fontId="15" fillId="0" borderId="8" xfId="0" applyNumberFormat="1" applyFont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9" fontId="15" fillId="0" borderId="8" xfId="0" applyNumberFormat="1" applyFont="1" applyBorder="1" applyAlignment="1">
      <alignment horizontal="center"/>
    </xf>
    <xf numFmtId="164" fontId="15" fillId="0" borderId="0" xfId="0" applyNumberFormat="1" applyFont="1"/>
    <xf numFmtId="10" fontId="8" fillId="0" borderId="0" xfId="3" applyNumberFormat="1" applyFont="1"/>
    <xf numFmtId="9" fontId="8" fillId="0" borderId="0" xfId="3" applyFont="1"/>
    <xf numFmtId="9" fontId="8" fillId="0" borderId="0" xfId="0" applyNumberFormat="1" applyFont="1"/>
    <xf numFmtId="41" fontId="5" fillId="5" borderId="8" xfId="0" applyNumberFormat="1" applyFont="1" applyFill="1" applyBorder="1" applyAlignment="1">
      <alignment vertical="center"/>
    </xf>
    <xf numFmtId="41" fontId="8" fillId="3" borderId="14" xfId="1" applyFont="1" applyFill="1" applyBorder="1" applyAlignment="1">
      <alignment horizontal="center"/>
    </xf>
    <xf numFmtId="41" fontId="8" fillId="4" borderId="12" xfId="1" applyFont="1" applyFill="1" applyBorder="1" applyAlignment="1">
      <alignment horizontal="center"/>
    </xf>
    <xf numFmtId="41" fontId="8" fillId="4" borderId="14" xfId="1" applyFont="1" applyFill="1" applyBorder="1" applyAlignment="1">
      <alignment horizontal="center"/>
    </xf>
    <xf numFmtId="41" fontId="8" fillId="3" borderId="10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1" fontId="8" fillId="4" borderId="13" xfId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5" fillId="6" borderId="31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left" wrapText="1"/>
    </xf>
    <xf numFmtId="0" fontId="15" fillId="6" borderId="41" xfId="0" applyFont="1" applyFill="1" applyBorder="1" applyAlignment="1">
      <alignment horizontal="left" wrapText="1"/>
    </xf>
    <xf numFmtId="0" fontId="15" fillId="6" borderId="4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41" fontId="4" fillId="3" borderId="10" xfId="1" applyFont="1" applyFill="1" applyBorder="1" applyAlignment="1">
      <alignment horizontal="center"/>
    </xf>
    <xf numFmtId="41" fontId="4" fillId="3" borderId="14" xfId="1" applyFont="1" applyFill="1" applyBorder="1" applyAlignment="1">
      <alignment horizontal="center"/>
    </xf>
    <xf numFmtId="41" fontId="4" fillId="4" borderId="12" xfId="1" applyFont="1" applyFill="1" applyBorder="1" applyAlignment="1">
      <alignment horizontal="center"/>
    </xf>
    <xf numFmtId="41" fontId="4" fillId="4" borderId="13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1" fontId="4" fillId="4" borderId="14" xfId="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9" fontId="5" fillId="4" borderId="40" xfId="3" applyFont="1" applyFill="1" applyBorder="1" applyAlignment="1">
      <alignment horizontal="center"/>
    </xf>
    <xf numFmtId="9" fontId="5" fillId="4" borderId="43" xfId="3" applyFont="1" applyFill="1" applyBorder="1" applyAlignment="1">
      <alignment horizontal="center"/>
    </xf>
    <xf numFmtId="9" fontId="5" fillId="11" borderId="48" xfId="3" applyFont="1" applyFill="1" applyBorder="1" applyAlignment="1">
      <alignment horizontal="center"/>
    </xf>
    <xf numFmtId="9" fontId="5" fillId="11" borderId="42" xfId="3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/>
    </xf>
    <xf numFmtId="0" fontId="15" fillId="5" borderId="41" xfId="0" applyFont="1" applyFill="1" applyBorder="1" applyAlignment="1">
      <alignment horizontal="left"/>
    </xf>
    <xf numFmtId="0" fontId="15" fillId="6" borderId="10" xfId="0" applyFont="1" applyFill="1" applyBorder="1" applyAlignment="1">
      <alignment horizontal="left"/>
    </xf>
    <xf numFmtId="0" fontId="15" fillId="6" borderId="14" xfId="0" applyFont="1" applyFill="1" applyBorder="1" applyAlignment="1">
      <alignment horizontal="left"/>
    </xf>
    <xf numFmtId="0" fontId="15" fillId="6" borderId="11" xfId="0" applyFont="1" applyFill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5" fillId="5" borderId="47" xfId="0" applyFont="1" applyFill="1" applyBorder="1" applyAlignment="1">
      <alignment horizontal="left"/>
    </xf>
    <xf numFmtId="0" fontId="15" fillId="5" borderId="2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5" fillId="6" borderId="67" xfId="0" applyFont="1" applyFill="1" applyBorder="1" applyAlignment="1">
      <alignment horizontal="center" vertical="center"/>
    </xf>
    <xf numFmtId="0" fontId="15" fillId="6" borderId="68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left"/>
    </xf>
    <xf numFmtId="0" fontId="8" fillId="7" borderId="14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/>
    </xf>
    <xf numFmtId="0" fontId="6" fillId="2" borderId="3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left"/>
    </xf>
    <xf numFmtId="0" fontId="15" fillId="6" borderId="8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/>
    </xf>
    <xf numFmtId="43" fontId="13" fillId="10" borderId="8" xfId="2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4">
    <cellStyle name="Comma" xfId="2" builtinId="3"/>
    <cellStyle name="Comma [0]" xfId="1" builtinId="6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Z32"/>
  <sheetViews>
    <sheetView tabSelected="1" view="pageLayout" topLeftCell="V1" zoomScaleNormal="80" workbookViewId="0">
      <selection activeCell="Z1" sqref="Z1"/>
    </sheetView>
  </sheetViews>
  <sheetFormatPr defaultColWidth="11.44140625" defaultRowHeight="10.199999999999999" x14ac:dyDescent="0.2"/>
  <cols>
    <col min="1" max="1" width="27.33203125" style="132" customWidth="1"/>
    <col min="2" max="3" width="9.5546875" style="73" bestFit="1" customWidth="1"/>
    <col min="4" max="4" width="10.88671875" style="73" bestFit="1" customWidth="1"/>
    <col min="5" max="5" width="12.33203125" style="73" customWidth="1"/>
    <col min="6" max="6" width="11.21875" style="73" customWidth="1"/>
    <col min="7" max="7" width="12.44140625" style="73" customWidth="1"/>
    <col min="8" max="8" width="10.33203125" style="73" customWidth="1"/>
    <col min="9" max="9" width="11.6640625" style="73" bestFit="1" customWidth="1"/>
    <col min="10" max="10" width="9.5546875" style="73" bestFit="1" customWidth="1"/>
    <col min="11" max="11" width="11.88671875" style="73" customWidth="1"/>
    <col min="12" max="12" width="12" style="73" customWidth="1"/>
    <col min="13" max="13" width="12.44140625" style="73" customWidth="1"/>
    <col min="14" max="14" width="10.33203125" style="73" customWidth="1"/>
    <col min="15" max="15" width="11.33203125" style="73" customWidth="1"/>
    <col min="16" max="16" width="11.5546875" style="73" customWidth="1"/>
    <col min="17" max="17" width="12.6640625" style="73" customWidth="1"/>
    <col min="18" max="18" width="10.109375" style="73" customWidth="1"/>
    <col min="19" max="19" width="11.88671875" style="73" customWidth="1"/>
    <col min="20" max="20" width="10.21875" style="73" customWidth="1"/>
    <col min="21" max="21" width="10.5546875" style="73" customWidth="1"/>
    <col min="22" max="22" width="11.33203125" style="73" customWidth="1"/>
    <col min="23" max="23" width="10.6640625" style="73" customWidth="1"/>
    <col min="24" max="24" width="9.44140625" style="73" customWidth="1"/>
    <col min="25" max="25" width="11.88671875" style="73" customWidth="1"/>
    <col min="26" max="26" width="10.44140625" style="73" customWidth="1"/>
    <col min="27" max="16384" width="11.44140625" style="73"/>
  </cols>
  <sheetData>
    <row r="1" spans="1:26" x14ac:dyDescent="0.2">
      <c r="A1" s="261" t="s">
        <v>72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26" x14ac:dyDescent="0.2">
      <c r="A2" s="261" t="s">
        <v>73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Z2" s="327"/>
    </row>
    <row r="3" spans="1:26" x14ac:dyDescent="0.2">
      <c r="A3" s="261" t="s">
        <v>74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Z3" s="327"/>
    </row>
    <row r="4" spans="1:26" ht="10.8" thickBot="1" x14ac:dyDescent="0.25">
      <c r="A4" s="73"/>
    </row>
    <row r="5" spans="1:26" x14ac:dyDescent="0.2">
      <c r="E5" s="271" t="s">
        <v>19</v>
      </c>
      <c r="F5" s="260"/>
      <c r="G5" s="260"/>
      <c r="H5" s="272"/>
      <c r="I5" s="260" t="s">
        <v>20</v>
      </c>
      <c r="J5" s="260"/>
      <c r="K5" s="260"/>
      <c r="L5" s="260"/>
      <c r="M5" s="271" t="s">
        <v>21</v>
      </c>
      <c r="N5" s="260"/>
      <c r="O5" s="260"/>
      <c r="P5" s="272"/>
      <c r="Q5" s="260" t="s">
        <v>22</v>
      </c>
      <c r="R5" s="260"/>
      <c r="S5" s="260"/>
      <c r="T5" s="260"/>
      <c r="U5" s="271" t="s">
        <v>23</v>
      </c>
      <c r="V5" s="260"/>
      <c r="W5" s="260"/>
      <c r="X5" s="272"/>
      <c r="Y5" s="264" t="s">
        <v>5</v>
      </c>
      <c r="Z5" s="265"/>
    </row>
    <row r="6" spans="1:26" ht="10.8" thickBot="1" x14ac:dyDescent="0.25">
      <c r="E6" s="259" t="s">
        <v>6</v>
      </c>
      <c r="F6" s="256"/>
      <c r="G6" s="257" t="s">
        <v>7</v>
      </c>
      <c r="H6" s="262"/>
      <c r="I6" s="256" t="s">
        <v>6</v>
      </c>
      <c r="J6" s="256"/>
      <c r="K6" s="257" t="s">
        <v>7</v>
      </c>
      <c r="L6" s="258"/>
      <c r="M6" s="259" t="s">
        <v>6</v>
      </c>
      <c r="N6" s="256"/>
      <c r="O6" s="257" t="s">
        <v>7</v>
      </c>
      <c r="P6" s="262"/>
      <c r="Q6" s="256" t="s">
        <v>6</v>
      </c>
      <c r="R6" s="256"/>
      <c r="S6" s="257" t="s">
        <v>7</v>
      </c>
      <c r="T6" s="258"/>
      <c r="U6" s="259" t="s">
        <v>6</v>
      </c>
      <c r="V6" s="256"/>
      <c r="W6" s="257" t="s">
        <v>7</v>
      </c>
      <c r="X6" s="262"/>
      <c r="Y6" s="266"/>
      <c r="Z6" s="267"/>
    </row>
    <row r="7" spans="1:26" ht="22.5" x14ac:dyDescent="0.2">
      <c r="A7" s="127" t="s">
        <v>0</v>
      </c>
      <c r="B7" s="128" t="s">
        <v>36</v>
      </c>
      <c r="C7" s="128" t="s">
        <v>35</v>
      </c>
      <c r="D7" s="143" t="s">
        <v>112</v>
      </c>
      <c r="E7" s="24" t="s">
        <v>8</v>
      </c>
      <c r="F7" s="21" t="s">
        <v>125</v>
      </c>
      <c r="G7" s="21" t="s">
        <v>8</v>
      </c>
      <c r="H7" s="25" t="s">
        <v>125</v>
      </c>
      <c r="I7" s="21" t="s">
        <v>8</v>
      </c>
      <c r="J7" s="21" t="s">
        <v>125</v>
      </c>
      <c r="K7" s="21" t="s">
        <v>8</v>
      </c>
      <c r="L7" s="23" t="s">
        <v>125</v>
      </c>
      <c r="M7" s="24" t="s">
        <v>8</v>
      </c>
      <c r="N7" s="21" t="s">
        <v>125</v>
      </c>
      <c r="O7" s="21" t="s">
        <v>8</v>
      </c>
      <c r="P7" s="25" t="s">
        <v>125</v>
      </c>
      <c r="Q7" s="21" t="s">
        <v>8</v>
      </c>
      <c r="R7" s="21" t="s">
        <v>125</v>
      </c>
      <c r="S7" s="21" t="s">
        <v>8</v>
      </c>
      <c r="T7" s="23" t="s">
        <v>125</v>
      </c>
      <c r="U7" s="24" t="s">
        <v>8</v>
      </c>
      <c r="V7" s="21" t="s">
        <v>125</v>
      </c>
      <c r="W7" s="21" t="s">
        <v>8</v>
      </c>
      <c r="X7" s="25" t="s">
        <v>125</v>
      </c>
      <c r="Y7" s="21" t="s">
        <v>8</v>
      </c>
      <c r="Z7" s="25" t="s">
        <v>125</v>
      </c>
    </row>
    <row r="8" spans="1:26" ht="23.25" customHeight="1" x14ac:dyDescent="0.2">
      <c r="A8" s="144" t="str">
        <f>+Componentes!B4</f>
        <v>Componente I. Obras y equipamientos para el control de la contaminación</v>
      </c>
      <c r="B8" s="68">
        <f>SUM(C8:D8)</f>
        <v>65028084</v>
      </c>
      <c r="C8" s="68">
        <f>+Componentes!D4</f>
        <v>65028084</v>
      </c>
      <c r="D8" s="145">
        <f>+Componentes!E4</f>
        <v>0</v>
      </c>
      <c r="E8" s="135">
        <f>+Componentes!F4</f>
        <v>0</v>
      </c>
      <c r="F8" s="129">
        <f>+Componentes!G4</f>
        <v>0</v>
      </c>
      <c r="G8" s="129">
        <f>+Componentes!H4</f>
        <v>528500</v>
      </c>
      <c r="H8" s="136">
        <f>+Componentes!I4</f>
        <v>0</v>
      </c>
      <c r="I8" s="134">
        <f>+Componentes!J4</f>
        <v>1080475.625</v>
      </c>
      <c r="J8" s="129">
        <f>+Componentes!K4</f>
        <v>0</v>
      </c>
      <c r="K8" s="129">
        <f>+Componentes!L4</f>
        <v>8450943.125</v>
      </c>
      <c r="L8" s="140">
        <f>+Componentes!M4</f>
        <v>0</v>
      </c>
      <c r="M8" s="135">
        <f>+Componentes!N4</f>
        <v>9136263.1484999992</v>
      </c>
      <c r="N8" s="129">
        <f>+Componentes!O4</f>
        <v>0</v>
      </c>
      <c r="O8" s="129">
        <f>+Componentes!P4</f>
        <v>11769722.3465</v>
      </c>
      <c r="P8" s="136">
        <f>+Componentes!Q4</f>
        <v>0</v>
      </c>
      <c r="Q8" s="134">
        <f>+Componentes!R4</f>
        <v>12518542.0415</v>
      </c>
      <c r="R8" s="129">
        <f>+Componentes!S4</f>
        <v>0</v>
      </c>
      <c r="S8" s="129">
        <f>+Componentes!T4</f>
        <v>10675960.1985</v>
      </c>
      <c r="T8" s="140">
        <f>+Componentes!U4</f>
        <v>0</v>
      </c>
      <c r="U8" s="135">
        <f>+Componentes!V4</f>
        <v>9757190.1750000007</v>
      </c>
      <c r="V8" s="129">
        <f>+Componentes!W4</f>
        <v>0</v>
      </c>
      <c r="W8" s="129">
        <f>+Componentes!X4</f>
        <v>1110487</v>
      </c>
      <c r="X8" s="136">
        <f>+Componentes!Y4</f>
        <v>0</v>
      </c>
      <c r="Y8" s="134">
        <f t="shared" ref="Y8:Y13" si="0">+W8+U8+S8+Q8+O8+M8+K8+I8+G8+E8</f>
        <v>65028083.659999996</v>
      </c>
      <c r="Z8" s="136">
        <f t="shared" ref="Z8:Z14" si="1">+X8+V8+T8+R8+P8+N8+L8+J8+H8+F8</f>
        <v>0</v>
      </c>
    </row>
    <row r="9" spans="1:26" ht="24.75" customHeight="1" x14ac:dyDescent="0.2">
      <c r="A9" s="146" t="str">
        <f>+Componentes!B25</f>
        <v>Componente II. Gestión integral de RSU en la CK</v>
      </c>
      <c r="B9" s="68">
        <f t="shared" ref="B9:B13" si="2">SUM(C9:D9)</f>
        <v>7153000</v>
      </c>
      <c r="C9" s="68">
        <f>+Componentes!D25</f>
        <v>7153000</v>
      </c>
      <c r="D9" s="145">
        <f>+Componentes!E25</f>
        <v>0</v>
      </c>
      <c r="E9" s="135">
        <f>+Componentes!F25</f>
        <v>0</v>
      </c>
      <c r="F9" s="129">
        <f>+Componentes!G25</f>
        <v>0</v>
      </c>
      <c r="G9" s="129">
        <f>+Componentes!H25</f>
        <v>0</v>
      </c>
      <c r="H9" s="136">
        <f>+Componentes!I25</f>
        <v>0</v>
      </c>
      <c r="I9" s="134">
        <f>+Componentes!J25</f>
        <v>417519</v>
      </c>
      <c r="J9" s="129">
        <f>+Componentes!K25</f>
        <v>0</v>
      </c>
      <c r="K9" s="129">
        <f>+Componentes!L25</f>
        <v>1482308.435897436</v>
      </c>
      <c r="L9" s="140">
        <f>+Componentes!M25</f>
        <v>0</v>
      </c>
      <c r="M9" s="135">
        <f>+Componentes!N25</f>
        <v>900877.66666666663</v>
      </c>
      <c r="N9" s="129">
        <f>+Componentes!O25</f>
        <v>0</v>
      </c>
      <c r="O9" s="129">
        <f>+Componentes!P25</f>
        <v>1102603.615384616</v>
      </c>
      <c r="P9" s="136">
        <f>+Componentes!Q25</f>
        <v>0</v>
      </c>
      <c r="Q9" s="134">
        <f>+Componentes!R25</f>
        <v>455663</v>
      </c>
      <c r="R9" s="129">
        <f>+Componentes!S25</f>
        <v>0</v>
      </c>
      <c r="S9" s="129">
        <f>+Componentes!T25</f>
        <v>819880.33333333326</v>
      </c>
      <c r="T9" s="140">
        <f>+Componentes!U25</f>
        <v>0</v>
      </c>
      <c r="U9" s="135">
        <f>+Componentes!V25</f>
        <v>1526364.9487179487</v>
      </c>
      <c r="V9" s="129">
        <f>+Componentes!W25</f>
        <v>0</v>
      </c>
      <c r="W9" s="129">
        <f>+Componentes!X25</f>
        <v>447783</v>
      </c>
      <c r="X9" s="136">
        <f>+Componentes!Y25</f>
        <v>0</v>
      </c>
      <c r="Y9" s="134">
        <f t="shared" si="0"/>
        <v>7153000.0000000009</v>
      </c>
      <c r="Z9" s="136">
        <f t="shared" si="1"/>
        <v>0</v>
      </c>
    </row>
    <row r="10" spans="1:26" ht="20.399999999999999" x14ac:dyDescent="0.2">
      <c r="A10" s="146" t="str">
        <f>+Componentes!B37</f>
        <v>Componente III. Fortalecimiento de la gestión de la CK</v>
      </c>
      <c r="B10" s="68">
        <f t="shared" si="2"/>
        <v>4540000</v>
      </c>
      <c r="C10" s="68">
        <f>+Componentes!D37</f>
        <v>300000</v>
      </c>
      <c r="D10" s="145">
        <f>+Componentes!E37</f>
        <v>4240000</v>
      </c>
      <c r="E10" s="135">
        <f>+Componentes!F37</f>
        <v>0</v>
      </c>
      <c r="F10" s="129">
        <f>+Componentes!G37</f>
        <v>0</v>
      </c>
      <c r="G10" s="129">
        <f>+Componentes!H37</f>
        <v>300000</v>
      </c>
      <c r="H10" s="136">
        <f>+Componentes!I37</f>
        <v>94000</v>
      </c>
      <c r="I10" s="134">
        <f>+Componentes!J37</f>
        <v>0</v>
      </c>
      <c r="J10" s="129">
        <f>+Componentes!K37</f>
        <v>801000</v>
      </c>
      <c r="K10" s="129">
        <f>+Componentes!L37</f>
        <v>0</v>
      </c>
      <c r="L10" s="140">
        <f>+Componentes!M37</f>
        <v>852662</v>
      </c>
      <c r="M10" s="135">
        <f>+Componentes!N37</f>
        <v>0</v>
      </c>
      <c r="N10" s="129">
        <f>+Componentes!O37</f>
        <v>1190000</v>
      </c>
      <c r="O10" s="129">
        <f>+Componentes!P37</f>
        <v>0</v>
      </c>
      <c r="P10" s="136">
        <f>+Componentes!Q37</f>
        <v>1138338</v>
      </c>
      <c r="Q10" s="134">
        <f>+Componentes!R37</f>
        <v>0</v>
      </c>
      <c r="R10" s="129">
        <f>+Componentes!S37</f>
        <v>91874</v>
      </c>
      <c r="S10" s="129">
        <f>+Componentes!T37</f>
        <v>0</v>
      </c>
      <c r="T10" s="140">
        <f>+Componentes!U37</f>
        <v>72126</v>
      </c>
      <c r="U10" s="135">
        <f>+Componentes!V37</f>
        <v>0</v>
      </c>
      <c r="V10" s="129">
        <f>+Componentes!W37</f>
        <v>0</v>
      </c>
      <c r="W10" s="129">
        <f>+Componentes!X37</f>
        <v>0</v>
      </c>
      <c r="X10" s="136">
        <f>+Componentes!Y37</f>
        <v>0</v>
      </c>
      <c r="Y10" s="134">
        <f t="shared" si="0"/>
        <v>300000</v>
      </c>
      <c r="Z10" s="136">
        <f t="shared" si="1"/>
        <v>4240000</v>
      </c>
    </row>
    <row r="11" spans="1:26" ht="26.25" customHeight="1" x14ac:dyDescent="0.2">
      <c r="A11" s="144" t="str">
        <f>+Componentes!B42</f>
        <v>Componente IV. Acciones estratégicas para la gestión de la CK</v>
      </c>
      <c r="B11" s="68">
        <f t="shared" si="2"/>
        <v>4810000</v>
      </c>
      <c r="C11" s="68">
        <f>+Componentes!D42</f>
        <v>650000</v>
      </c>
      <c r="D11" s="145">
        <f>+Componentes!E42</f>
        <v>4160000</v>
      </c>
      <c r="E11" s="135">
        <f>+Componentes!F42</f>
        <v>0</v>
      </c>
      <c r="F11" s="129">
        <f>+Componentes!G42</f>
        <v>96000</v>
      </c>
      <c r="G11" s="129">
        <f>+Componentes!H42</f>
        <v>0</v>
      </c>
      <c r="H11" s="136">
        <f>+Componentes!I42</f>
        <v>144000</v>
      </c>
      <c r="I11" s="134">
        <f>+Componentes!J42</f>
        <v>0</v>
      </c>
      <c r="J11" s="129">
        <f>+Componentes!K42</f>
        <v>280000</v>
      </c>
      <c r="K11" s="129">
        <f>+Componentes!L42</f>
        <v>0</v>
      </c>
      <c r="L11" s="140">
        <f>+Componentes!M42</f>
        <v>300000</v>
      </c>
      <c r="M11" s="135">
        <f>+Componentes!N42</f>
        <v>100000</v>
      </c>
      <c r="N11" s="129">
        <f>+Componentes!O42</f>
        <v>704000</v>
      </c>
      <c r="O11" s="129">
        <f>+Componentes!P42</f>
        <v>150000</v>
      </c>
      <c r="P11" s="136">
        <f>+Componentes!Q42</f>
        <v>786000</v>
      </c>
      <c r="Q11" s="134">
        <f>+Componentes!R42</f>
        <v>150000</v>
      </c>
      <c r="R11" s="129">
        <f>+Componentes!S42</f>
        <v>700000</v>
      </c>
      <c r="S11" s="129">
        <f>+Componentes!T42</f>
        <v>130000</v>
      </c>
      <c r="T11" s="140">
        <f>+Componentes!U42</f>
        <v>800000</v>
      </c>
      <c r="U11" s="135">
        <f>+Componentes!V42</f>
        <v>60000</v>
      </c>
      <c r="V11" s="129">
        <f>+Componentes!W42</f>
        <v>250000</v>
      </c>
      <c r="W11" s="129">
        <f>+Componentes!X42</f>
        <v>60000</v>
      </c>
      <c r="X11" s="136">
        <f>+Componentes!Y42</f>
        <v>100000</v>
      </c>
      <c r="Y11" s="134">
        <f t="shared" si="0"/>
        <v>650000</v>
      </c>
      <c r="Z11" s="136">
        <f t="shared" si="1"/>
        <v>4160000</v>
      </c>
    </row>
    <row r="12" spans="1:26" x14ac:dyDescent="0.2">
      <c r="A12" s="144" t="s">
        <v>107</v>
      </c>
      <c r="B12" s="68">
        <f t="shared" si="2"/>
        <v>3248916.171625</v>
      </c>
      <c r="C12" s="130">
        <f>+Administración_ME_Auditoria!F25+Administración_ME_Auditoria!F19</f>
        <v>3248916.171625</v>
      </c>
      <c r="D12" s="147">
        <v>0</v>
      </c>
      <c r="E12" s="135">
        <f>+Administración_ME_Auditoria!G19+Administración_ME_Auditoria!G25</f>
        <v>196430</v>
      </c>
      <c r="F12" s="129">
        <v>0</v>
      </c>
      <c r="G12" s="129">
        <f>+Administración_ME_Auditoria!H19+Administración_ME_Auditoria!H25</f>
        <v>539830</v>
      </c>
      <c r="H12" s="136">
        <v>0</v>
      </c>
      <c r="I12" s="134">
        <f>+Administración_ME_Auditoria!I19+Administración_ME_Auditoria!I25</f>
        <v>494451.5</v>
      </c>
      <c r="J12" s="129">
        <v>0</v>
      </c>
      <c r="K12" s="129">
        <f>+Administración_ME_Auditoria!J19+Administración_ME_Auditoria!J25</f>
        <v>425851.5</v>
      </c>
      <c r="L12" s="140">
        <v>0</v>
      </c>
      <c r="M12" s="135">
        <f>+Administración_ME_Auditoria!K19+Administración_ME_Auditoria!K25</f>
        <v>234449.07500000001</v>
      </c>
      <c r="N12" s="129">
        <v>0</v>
      </c>
      <c r="O12" s="129">
        <f>+Administración_ME_Auditoria!L19+Administración_ME_Auditoria!L25</f>
        <v>385849.07500000001</v>
      </c>
      <c r="P12" s="136">
        <v>0</v>
      </c>
      <c r="Q12" s="134">
        <f>+Administración_ME_Auditoria!M19+Administración_ME_Auditoria!M25</f>
        <v>244396.52875000003</v>
      </c>
      <c r="R12" s="129">
        <v>0</v>
      </c>
      <c r="S12" s="129">
        <f>+Administración_ME_Auditoria!N19+Administración_ME_Auditoria!N25</f>
        <v>395796.52875000006</v>
      </c>
      <c r="T12" s="140">
        <v>0</v>
      </c>
      <c r="U12" s="135">
        <f>+Administración_ME_Auditoria!O19</f>
        <v>165230.98206249997</v>
      </c>
      <c r="V12" s="129">
        <v>0</v>
      </c>
      <c r="W12" s="129">
        <f>+Administración_ME_Auditoria!P19</f>
        <v>166630.98206249997</v>
      </c>
      <c r="X12" s="136">
        <v>0</v>
      </c>
      <c r="Y12" s="134">
        <f t="shared" si="0"/>
        <v>3248916.171625</v>
      </c>
      <c r="Z12" s="136">
        <f t="shared" si="1"/>
        <v>0</v>
      </c>
    </row>
    <row r="13" spans="1:26" ht="11.25" x14ac:dyDescent="0.2">
      <c r="A13" s="144" t="s">
        <v>111</v>
      </c>
      <c r="B13" s="68">
        <f t="shared" si="2"/>
        <v>950000</v>
      </c>
      <c r="C13" s="130">
        <f>+Administración_ME_Auditoria!F34</f>
        <v>950000</v>
      </c>
      <c r="D13" s="147">
        <v>0</v>
      </c>
      <c r="E13" s="135">
        <f>+Administración_ME_Auditoria!G34</f>
        <v>0</v>
      </c>
      <c r="F13" s="129">
        <v>0</v>
      </c>
      <c r="G13" s="129">
        <f>+Administración_ME_Auditoria!H34</f>
        <v>150000</v>
      </c>
      <c r="H13" s="136">
        <v>0</v>
      </c>
      <c r="I13" s="135">
        <f>+Administración_ME_Auditoria!I34</f>
        <v>120000</v>
      </c>
      <c r="J13" s="129">
        <v>0</v>
      </c>
      <c r="K13" s="129">
        <f>+Administración_ME_Auditoria!J34</f>
        <v>70000</v>
      </c>
      <c r="L13" s="136">
        <v>0</v>
      </c>
      <c r="M13" s="135">
        <f>+Administración_ME_Auditoria!K34</f>
        <v>0</v>
      </c>
      <c r="N13" s="129">
        <v>0</v>
      </c>
      <c r="O13" s="129">
        <f>+Administración_ME_Auditoria!L34</f>
        <v>170000</v>
      </c>
      <c r="P13" s="136">
        <v>0</v>
      </c>
      <c r="Q13" s="135">
        <f>+Administración_ME_Auditoria!M34</f>
        <v>0</v>
      </c>
      <c r="R13" s="129">
        <v>0</v>
      </c>
      <c r="S13" s="129">
        <f>+Administración_ME_Auditoria!N34</f>
        <v>70000</v>
      </c>
      <c r="T13" s="136">
        <v>0</v>
      </c>
      <c r="U13" s="135">
        <f>+Administración_ME_Auditoria!O34</f>
        <v>120000</v>
      </c>
      <c r="V13" s="129">
        <v>0</v>
      </c>
      <c r="W13" s="129">
        <f>+Administración_ME_Auditoria!P34</f>
        <v>250000</v>
      </c>
      <c r="X13" s="136">
        <v>0</v>
      </c>
      <c r="Y13" s="134">
        <f t="shared" si="0"/>
        <v>950000</v>
      </c>
      <c r="Z13" s="136">
        <f t="shared" si="1"/>
        <v>0</v>
      </c>
    </row>
    <row r="14" spans="1:26" ht="12" thickBot="1" x14ac:dyDescent="0.25">
      <c r="A14" s="148" t="s">
        <v>5</v>
      </c>
      <c r="B14" s="138">
        <f t="shared" ref="B14:X14" si="3">SUM(B8:B13)</f>
        <v>85730000.171625003</v>
      </c>
      <c r="C14" s="138">
        <f t="shared" si="3"/>
        <v>77330000.171625003</v>
      </c>
      <c r="D14" s="139">
        <f t="shared" si="3"/>
        <v>8400000</v>
      </c>
      <c r="E14" s="137">
        <f t="shared" si="3"/>
        <v>196430</v>
      </c>
      <c r="F14" s="138">
        <f t="shared" si="3"/>
        <v>96000</v>
      </c>
      <c r="G14" s="138">
        <f t="shared" si="3"/>
        <v>1518330</v>
      </c>
      <c r="H14" s="139">
        <f t="shared" si="3"/>
        <v>238000</v>
      </c>
      <c r="I14" s="141">
        <f t="shared" si="3"/>
        <v>2112446.125</v>
      </c>
      <c r="J14" s="138">
        <f t="shared" si="3"/>
        <v>1081000</v>
      </c>
      <c r="K14" s="138">
        <f t="shared" si="3"/>
        <v>10429103.060897436</v>
      </c>
      <c r="L14" s="142">
        <f t="shared" si="3"/>
        <v>1152662</v>
      </c>
      <c r="M14" s="137">
        <f t="shared" si="3"/>
        <v>10371589.890166664</v>
      </c>
      <c r="N14" s="138">
        <f t="shared" si="3"/>
        <v>1894000</v>
      </c>
      <c r="O14" s="138">
        <f t="shared" si="3"/>
        <v>13578175.036884615</v>
      </c>
      <c r="P14" s="139">
        <f t="shared" si="3"/>
        <v>1924338</v>
      </c>
      <c r="Q14" s="141">
        <f t="shared" si="3"/>
        <v>13368601.570250001</v>
      </c>
      <c r="R14" s="138">
        <f t="shared" si="3"/>
        <v>791874</v>
      </c>
      <c r="S14" s="138">
        <f t="shared" si="3"/>
        <v>12091637.060583334</v>
      </c>
      <c r="T14" s="142">
        <f t="shared" si="3"/>
        <v>872126</v>
      </c>
      <c r="U14" s="137">
        <f t="shared" si="3"/>
        <v>11628786.105780449</v>
      </c>
      <c r="V14" s="138">
        <f t="shared" si="3"/>
        <v>250000</v>
      </c>
      <c r="W14" s="138">
        <f t="shared" si="3"/>
        <v>2034900.9820625</v>
      </c>
      <c r="X14" s="139">
        <f t="shared" si="3"/>
        <v>100000</v>
      </c>
      <c r="Y14" s="141">
        <f>+W14+U14+S14+Q14+O14+M14+K14+I14+G14+E14</f>
        <v>77329999.831625</v>
      </c>
      <c r="Z14" s="139">
        <f t="shared" si="1"/>
        <v>8400000</v>
      </c>
    </row>
    <row r="15" spans="1:26" ht="12" thickBot="1" x14ac:dyDescent="0.25">
      <c r="B15" s="72"/>
      <c r="C15" s="131"/>
      <c r="D15" s="131"/>
    </row>
    <row r="16" spans="1:26" ht="15.75" customHeight="1" thickBot="1" x14ac:dyDescent="0.25">
      <c r="A16" s="268" t="s">
        <v>129</v>
      </c>
      <c r="B16" s="269"/>
      <c r="C16" s="269"/>
      <c r="D16" s="270"/>
      <c r="E16" s="151">
        <f>+E14/$C$14</f>
        <v>2.5401525871465965E-3</v>
      </c>
      <c r="F16" s="152">
        <f>+F14/$D$14</f>
        <v>1.1428571428571429E-2</v>
      </c>
      <c r="G16" s="153">
        <f>+G14/$C$14</f>
        <v>1.9634423854005455E-2</v>
      </c>
      <c r="H16" s="154">
        <f>+H14/$D$14</f>
        <v>2.8333333333333332E-2</v>
      </c>
      <c r="I16" s="151">
        <f>+I14/$C$14</f>
        <v>2.7317291094163584E-2</v>
      </c>
      <c r="J16" s="152">
        <f>+J14/$D$14</f>
        <v>0.12869047619047619</v>
      </c>
      <c r="K16" s="153">
        <f>+K14/$C$14</f>
        <v>0.1348649041478242</v>
      </c>
      <c r="L16" s="154">
        <f>+L14/$D$14</f>
        <v>0.13722166666666666</v>
      </c>
      <c r="M16" s="151">
        <f>+M14/$C$14</f>
        <v>0.13412116729791954</v>
      </c>
      <c r="N16" s="152">
        <f>+N14/$D$14</f>
        <v>0.22547619047619047</v>
      </c>
      <c r="O16" s="153">
        <f>+O14/$C$14</f>
        <v>0.17558741764838257</v>
      </c>
      <c r="P16" s="154">
        <f>+P14/$D$14</f>
        <v>0.22908785714285715</v>
      </c>
      <c r="Q16" s="151">
        <f>+Q14/$C$14</f>
        <v>0.17287729911521962</v>
      </c>
      <c r="R16" s="152">
        <f>+R14/$D$14</f>
        <v>9.4270714285714291E-2</v>
      </c>
      <c r="S16" s="153">
        <f>+S14/$C$14</f>
        <v>0.15636411526894275</v>
      </c>
      <c r="T16" s="154">
        <f>+T14/$D$14</f>
        <v>0.10382452380952381</v>
      </c>
      <c r="U16" s="151">
        <f>+U14/$C$14</f>
        <v>0.15037871563392863</v>
      </c>
      <c r="V16" s="152">
        <f>+V14/$D$14</f>
        <v>2.976190476190476E-2</v>
      </c>
      <c r="W16" s="153">
        <f>+W14/$C$14</f>
        <v>2.6314508955725749E-2</v>
      </c>
      <c r="X16" s="154">
        <f>+X14/$D$14</f>
        <v>1.1904761904761904E-2</v>
      </c>
      <c r="Y16" s="150"/>
      <c r="Z16" s="149"/>
    </row>
    <row r="17" spans="1:11" ht="11.25" x14ac:dyDescent="0.2">
      <c r="B17" s="131"/>
      <c r="D17" s="72"/>
    </row>
    <row r="18" spans="1:11" ht="11.25" x14ac:dyDescent="0.2">
      <c r="B18" s="72"/>
      <c r="C18" s="72"/>
    </row>
    <row r="19" spans="1:11" x14ac:dyDescent="0.2">
      <c r="B19" s="263" t="s">
        <v>131</v>
      </c>
      <c r="C19" s="263"/>
      <c r="D19" s="263" t="s">
        <v>132</v>
      </c>
      <c r="E19" s="263"/>
      <c r="F19" s="263" t="s">
        <v>133</v>
      </c>
      <c r="G19" s="263"/>
      <c r="H19" s="263" t="s">
        <v>134</v>
      </c>
      <c r="I19" s="263"/>
      <c r="J19" s="263" t="s">
        <v>135</v>
      </c>
      <c r="K19" s="263"/>
    </row>
    <row r="20" spans="1:11" ht="11.25" x14ac:dyDescent="0.2">
      <c r="B20" s="249" t="s">
        <v>8</v>
      </c>
      <c r="C20" s="133" t="s">
        <v>125</v>
      </c>
      <c r="D20" s="249" t="s">
        <v>8</v>
      </c>
      <c r="E20" s="133" t="s">
        <v>125</v>
      </c>
      <c r="F20" s="249" t="s">
        <v>8</v>
      </c>
      <c r="G20" s="133" t="s">
        <v>125</v>
      </c>
      <c r="H20" s="249" t="s">
        <v>8</v>
      </c>
      <c r="I20" s="133" t="s">
        <v>125</v>
      </c>
      <c r="J20" s="249" t="s">
        <v>8</v>
      </c>
      <c r="K20" s="133" t="s">
        <v>125</v>
      </c>
    </row>
    <row r="21" spans="1:11" ht="11.25" x14ac:dyDescent="0.2">
      <c r="A21" s="155" t="s">
        <v>130</v>
      </c>
      <c r="B21" s="250">
        <f>+E16+G16</f>
        <v>2.217457644115205E-2</v>
      </c>
      <c r="C21" s="156">
        <f>+F16+H16</f>
        <v>3.9761904761904762E-2</v>
      </c>
      <c r="D21" s="250">
        <f>+I16+K16</f>
        <v>0.16218219524198779</v>
      </c>
      <c r="E21" s="156">
        <f>+J16+L16</f>
        <v>0.26591214285714282</v>
      </c>
      <c r="F21" s="250">
        <f>+M16+O16</f>
        <v>0.3097085849463021</v>
      </c>
      <c r="G21" s="156">
        <f>+N16+P16</f>
        <v>0.45456404761904762</v>
      </c>
      <c r="H21" s="250">
        <f>+Q16+S16</f>
        <v>0.32924141438416238</v>
      </c>
      <c r="I21" s="156">
        <f>+R16+T16</f>
        <v>0.1980952380952381</v>
      </c>
      <c r="J21" s="250">
        <f>+U16+W16</f>
        <v>0.17669322458965436</v>
      </c>
      <c r="K21" s="156">
        <f>+V16+X16</f>
        <v>4.1666666666666664E-2</v>
      </c>
    </row>
    <row r="23" spans="1:11" x14ac:dyDescent="0.2">
      <c r="B23" s="248" t="s">
        <v>19</v>
      </c>
      <c r="C23" s="248" t="s">
        <v>20</v>
      </c>
      <c r="D23" s="248" t="s">
        <v>21</v>
      </c>
      <c r="E23" s="248" t="s">
        <v>22</v>
      </c>
      <c r="F23" s="248" t="s">
        <v>23</v>
      </c>
      <c r="G23" s="248" t="s">
        <v>5</v>
      </c>
    </row>
    <row r="24" spans="1:11" ht="11.25" x14ac:dyDescent="0.2">
      <c r="A24" s="239" t="s">
        <v>136</v>
      </c>
      <c r="B24" s="240">
        <f>+E14+G14</f>
        <v>1714760</v>
      </c>
      <c r="C24" s="240">
        <f>+I14+K14</f>
        <v>12541549.185897436</v>
      </c>
      <c r="D24" s="240">
        <f>+M14+O14-D29</f>
        <v>21675381.92705128</v>
      </c>
      <c r="E24" s="240">
        <f>+Q14+S14-E29</f>
        <v>9617505.6308333352</v>
      </c>
      <c r="F24" s="240">
        <f>+U14+W14-F29</f>
        <v>1780803.0878429487</v>
      </c>
      <c r="G24" s="240">
        <f>SUM(B24:F24)</f>
        <v>47329999.831625</v>
      </c>
      <c r="H24" s="72"/>
    </row>
    <row r="25" spans="1:11" ht="11.25" x14ac:dyDescent="0.2">
      <c r="A25" s="239" t="s">
        <v>140</v>
      </c>
      <c r="B25" s="241">
        <f t="shared" ref="B25:G25" si="4">+B24/B28</f>
        <v>0.83697456022179273</v>
      </c>
      <c r="C25" s="241">
        <f t="shared" si="4"/>
        <v>0.84882368367553529</v>
      </c>
      <c r="D25" s="241">
        <f>47330000/55730000</f>
        <v>0.84927328189485018</v>
      </c>
      <c r="E25" s="241">
        <f>47330000/55730000</f>
        <v>0.84927328189485018</v>
      </c>
      <c r="F25" s="241">
        <f>47330000/55730000</f>
        <v>0.84927328189485018</v>
      </c>
      <c r="G25" s="241">
        <f t="shared" si="4"/>
        <v>0.84927328143946512</v>
      </c>
      <c r="I25" s="72"/>
    </row>
    <row r="26" spans="1:11" ht="11.25" x14ac:dyDescent="0.2">
      <c r="A26" s="242" t="s">
        <v>138</v>
      </c>
      <c r="B26" s="243">
        <f>+F14+H14</f>
        <v>334000</v>
      </c>
      <c r="C26" s="243">
        <f>+J14+L14</f>
        <v>2233662</v>
      </c>
      <c r="D26" s="243">
        <f>+N14+P14</f>
        <v>3818338</v>
      </c>
      <c r="E26" s="243">
        <f>+R14+T14</f>
        <v>1664000</v>
      </c>
      <c r="F26" s="243">
        <f>+V14+X14</f>
        <v>350000</v>
      </c>
      <c r="G26" s="243">
        <f>SUM(B26:F26)</f>
        <v>8400000</v>
      </c>
      <c r="I26" s="237"/>
      <c r="J26" s="72"/>
    </row>
    <row r="27" spans="1:11" ht="11.25" x14ac:dyDescent="0.2">
      <c r="A27" s="242" t="s">
        <v>139</v>
      </c>
      <c r="B27" s="244">
        <f t="shared" ref="B27:G27" si="5">+B26/B28</f>
        <v>0.1630254397782073</v>
      </c>
      <c r="C27" s="244">
        <f t="shared" si="5"/>
        <v>0.15117631632446471</v>
      </c>
      <c r="D27" s="244">
        <f>8400000/55730000</f>
        <v>0.15072671810514984</v>
      </c>
      <c r="E27" s="244">
        <f>8400000/55730000</f>
        <v>0.15072671810514984</v>
      </c>
      <c r="F27" s="244">
        <f>8400000/55730000</f>
        <v>0.15072671810514984</v>
      </c>
      <c r="G27" s="244">
        <f t="shared" si="5"/>
        <v>0.15072671856053493</v>
      </c>
      <c r="H27" s="72"/>
      <c r="I27" s="72"/>
    </row>
    <row r="28" spans="1:11" s="161" customFormat="1" ht="11.25" x14ac:dyDescent="0.2">
      <c r="A28" s="245" t="s">
        <v>141</v>
      </c>
      <c r="B28" s="246">
        <f>+B24+B26</f>
        <v>2048760</v>
      </c>
      <c r="C28" s="246">
        <f>+C24+C26</f>
        <v>14775211.185897436</v>
      </c>
      <c r="D28" s="246">
        <f>+D24+D26</f>
        <v>25493719.92705128</v>
      </c>
      <c r="E28" s="246">
        <f>+E24+E26</f>
        <v>11281505.630833335</v>
      </c>
      <c r="F28" s="246">
        <f>+F24+F26</f>
        <v>2130803.0878429487</v>
      </c>
      <c r="G28" s="246">
        <f>SUM(B28:F28)</f>
        <v>55729999.831625</v>
      </c>
      <c r="I28" s="180"/>
      <c r="J28" s="178"/>
    </row>
    <row r="29" spans="1:11" s="161" customFormat="1" x14ac:dyDescent="0.2">
      <c r="A29" s="245" t="s">
        <v>137</v>
      </c>
      <c r="B29" s="247">
        <v>0</v>
      </c>
      <c r="C29" s="247">
        <v>0</v>
      </c>
      <c r="D29" s="247">
        <v>2274383</v>
      </c>
      <c r="E29" s="247">
        <v>15842733</v>
      </c>
      <c r="F29" s="247">
        <v>11882884</v>
      </c>
      <c r="G29" s="246">
        <f>SUM(B29:F29)</f>
        <v>30000000</v>
      </c>
      <c r="I29" s="180"/>
      <c r="J29" s="178"/>
    </row>
    <row r="30" spans="1:11" x14ac:dyDescent="0.2">
      <c r="I30" s="252"/>
    </row>
    <row r="31" spans="1:11" s="161" customFormat="1" x14ac:dyDescent="0.2">
      <c r="A31" s="245" t="s">
        <v>5</v>
      </c>
      <c r="B31" s="247">
        <f>+B29+B28</f>
        <v>2048760</v>
      </c>
      <c r="C31" s="247">
        <f>+C29+C28</f>
        <v>14775211.185897436</v>
      </c>
      <c r="D31" s="247">
        <f>+D29+D28</f>
        <v>27768102.92705128</v>
      </c>
      <c r="E31" s="247">
        <f>+E29+E28</f>
        <v>27124238.630833335</v>
      </c>
      <c r="F31" s="247">
        <f>+F29+F28</f>
        <v>14013687.087842949</v>
      </c>
      <c r="G31" s="246">
        <f>SUM(B31:F31)</f>
        <v>85729999.831624985</v>
      </c>
      <c r="I31" s="251"/>
    </row>
    <row r="32" spans="1:11" x14ac:dyDescent="0.2">
      <c r="B32" s="253">
        <f>+B31/$B$14</f>
        <v>2.3897818685390607E-2</v>
      </c>
      <c r="C32" s="253">
        <f t="shared" ref="C32:F32" si="6">+C31/$B$14</f>
        <v>0.17234586674814623</v>
      </c>
      <c r="D32" s="253">
        <f t="shared" si="6"/>
        <v>0.32390181816705504</v>
      </c>
      <c r="E32" s="253">
        <f t="shared" si="6"/>
        <v>0.31639144496130472</v>
      </c>
      <c r="F32" s="253">
        <f t="shared" si="6"/>
        <v>0.16346304747216381</v>
      </c>
      <c r="G32" s="254">
        <f>SUM(B32:F32)</f>
        <v>0.99999999603406031</v>
      </c>
    </row>
  </sheetData>
  <mergeCells count="25">
    <mergeCell ref="F19:G19"/>
    <mergeCell ref="H19:I19"/>
    <mergeCell ref="J19:K19"/>
    <mergeCell ref="Y5:Z6"/>
    <mergeCell ref="A16:D16"/>
    <mergeCell ref="B19:C19"/>
    <mergeCell ref="D19:E19"/>
    <mergeCell ref="M5:P5"/>
    <mergeCell ref="Q5:T5"/>
    <mergeCell ref="U5:X5"/>
    <mergeCell ref="E6:F6"/>
    <mergeCell ref="G6:H6"/>
    <mergeCell ref="I6:J6"/>
    <mergeCell ref="K6:L6"/>
    <mergeCell ref="W6:X6"/>
    <mergeCell ref="E5:H5"/>
    <mergeCell ref="Q6:R6"/>
    <mergeCell ref="S6:T6"/>
    <mergeCell ref="U6:V6"/>
    <mergeCell ref="I5:L5"/>
    <mergeCell ref="A1:P1"/>
    <mergeCell ref="A2:P2"/>
    <mergeCell ref="A3:P3"/>
    <mergeCell ref="M6:N6"/>
    <mergeCell ref="O6:P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&amp;CBO-L1118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AC71"/>
  <sheetViews>
    <sheetView topLeftCell="M1" zoomScale="110" zoomScaleNormal="110" workbookViewId="0">
      <selection activeCell="R6" sqref="R6:T6"/>
    </sheetView>
  </sheetViews>
  <sheetFormatPr defaultColWidth="11.44140625" defaultRowHeight="13.8" x14ac:dyDescent="0.3"/>
  <cols>
    <col min="1" max="1" width="2.88671875" style="1" customWidth="1"/>
    <col min="2" max="2" width="76.88671875" style="1" bestFit="1" customWidth="1"/>
    <col min="3" max="3" width="13" style="1" bestFit="1" customWidth="1"/>
    <col min="4" max="4" width="15.44140625" style="1" bestFit="1" customWidth="1"/>
    <col min="5" max="5" width="14.44140625" style="1" bestFit="1" customWidth="1"/>
    <col min="6" max="6" width="13.44140625" style="1" bestFit="1" customWidth="1"/>
    <col min="7" max="7" width="14.44140625" style="1" bestFit="1" customWidth="1"/>
    <col min="8" max="8" width="11" style="1" bestFit="1" customWidth="1"/>
    <col min="9" max="9" width="14.44140625" style="1" bestFit="1" customWidth="1"/>
    <col min="10" max="10" width="15.44140625" style="1" bestFit="1" customWidth="1"/>
    <col min="11" max="11" width="14.44140625" style="1" bestFit="1" customWidth="1"/>
    <col min="12" max="12" width="11" style="1" bestFit="1" customWidth="1"/>
    <col min="13" max="13" width="10" style="1" bestFit="1" customWidth="1"/>
    <col min="14" max="14" width="11" style="1" bestFit="1" customWidth="1"/>
    <col min="15" max="15" width="10" style="1" bestFit="1" customWidth="1"/>
    <col min="16" max="16" width="11" style="1" bestFit="1" customWidth="1"/>
    <col min="17" max="17" width="10" style="1" bestFit="1" customWidth="1"/>
    <col min="18" max="18" width="11" style="1" bestFit="1" customWidth="1"/>
    <col min="19" max="19" width="8.5546875" style="1" bestFit="1" customWidth="1"/>
    <col min="20" max="20" width="11" style="1" bestFit="1" customWidth="1"/>
    <col min="21" max="21" width="8.5546875" style="1" bestFit="1" customWidth="1"/>
    <col min="22" max="22" width="11" style="1" bestFit="1" customWidth="1"/>
    <col min="23" max="23" width="8.5546875" style="1" bestFit="1" customWidth="1"/>
    <col min="24" max="24" width="10" style="1" customWidth="1"/>
    <col min="25" max="25" width="8.5546875" style="1" bestFit="1" customWidth="1"/>
    <col min="26" max="26" width="11" style="1" bestFit="1" customWidth="1"/>
    <col min="27" max="27" width="10" style="1" bestFit="1" customWidth="1"/>
    <col min="28" max="16384" width="11.44140625" style="1"/>
  </cols>
  <sheetData>
    <row r="1" spans="2:29" ht="25.5" customHeight="1" x14ac:dyDescent="0.3">
      <c r="B1" s="273" t="s">
        <v>0</v>
      </c>
      <c r="C1" s="276" t="s">
        <v>36</v>
      </c>
      <c r="D1" s="276" t="s">
        <v>35</v>
      </c>
      <c r="E1" s="279" t="s">
        <v>94</v>
      </c>
      <c r="F1" s="285" t="s">
        <v>19</v>
      </c>
      <c r="G1" s="286"/>
      <c r="H1" s="286"/>
      <c r="I1" s="287"/>
      <c r="J1" s="286" t="s">
        <v>20</v>
      </c>
      <c r="K1" s="286"/>
      <c r="L1" s="286"/>
      <c r="M1" s="286"/>
      <c r="N1" s="285" t="s">
        <v>21</v>
      </c>
      <c r="O1" s="286"/>
      <c r="P1" s="286"/>
      <c r="Q1" s="287"/>
      <c r="R1" s="286" t="s">
        <v>22</v>
      </c>
      <c r="S1" s="286"/>
      <c r="T1" s="286"/>
      <c r="U1" s="286"/>
      <c r="V1" s="285" t="s">
        <v>23</v>
      </c>
      <c r="W1" s="286"/>
      <c r="X1" s="286"/>
      <c r="Y1" s="287"/>
      <c r="Z1" s="289" t="s">
        <v>5</v>
      </c>
      <c r="AA1" s="290"/>
    </row>
    <row r="2" spans="2:29" ht="12" customHeight="1" thickBot="1" x14ac:dyDescent="0.35">
      <c r="B2" s="274"/>
      <c r="C2" s="277"/>
      <c r="D2" s="277"/>
      <c r="E2" s="280"/>
      <c r="F2" s="281" t="s">
        <v>6</v>
      </c>
      <c r="G2" s="282"/>
      <c r="H2" s="283" t="s">
        <v>7</v>
      </c>
      <c r="I2" s="284"/>
      <c r="J2" s="282" t="s">
        <v>6</v>
      </c>
      <c r="K2" s="282"/>
      <c r="L2" s="283" t="s">
        <v>7</v>
      </c>
      <c r="M2" s="288"/>
      <c r="N2" s="281" t="s">
        <v>6</v>
      </c>
      <c r="O2" s="282"/>
      <c r="P2" s="283" t="s">
        <v>7</v>
      </c>
      <c r="Q2" s="284"/>
      <c r="R2" s="282" t="s">
        <v>6</v>
      </c>
      <c r="S2" s="282"/>
      <c r="T2" s="283" t="s">
        <v>7</v>
      </c>
      <c r="U2" s="288"/>
      <c r="V2" s="281" t="s">
        <v>6</v>
      </c>
      <c r="W2" s="282"/>
      <c r="X2" s="283" t="s">
        <v>7</v>
      </c>
      <c r="Y2" s="284"/>
      <c r="Z2" s="291"/>
      <c r="AA2" s="292"/>
    </row>
    <row r="3" spans="2:29" ht="16.5" customHeight="1" thickBot="1" x14ac:dyDescent="0.35">
      <c r="B3" s="275"/>
      <c r="C3" s="277"/>
      <c r="D3" s="278"/>
      <c r="E3" s="280"/>
      <c r="F3" s="59" t="s">
        <v>8</v>
      </c>
      <c r="G3" s="60" t="s">
        <v>125</v>
      </c>
      <c r="H3" s="60" t="s">
        <v>8</v>
      </c>
      <c r="I3" s="61" t="s">
        <v>125</v>
      </c>
      <c r="J3" s="60" t="s">
        <v>8</v>
      </c>
      <c r="K3" s="60" t="s">
        <v>125</v>
      </c>
      <c r="L3" s="60" t="s">
        <v>8</v>
      </c>
      <c r="M3" s="97" t="s">
        <v>125</v>
      </c>
      <c r="N3" s="59" t="s">
        <v>8</v>
      </c>
      <c r="O3" s="60" t="s">
        <v>125</v>
      </c>
      <c r="P3" s="60" t="s">
        <v>8</v>
      </c>
      <c r="Q3" s="61" t="s">
        <v>125</v>
      </c>
      <c r="R3" s="60" t="s">
        <v>8</v>
      </c>
      <c r="S3" s="60" t="s">
        <v>125</v>
      </c>
      <c r="T3" s="60" t="s">
        <v>8</v>
      </c>
      <c r="U3" s="97" t="s">
        <v>125</v>
      </c>
      <c r="V3" s="59" t="s">
        <v>8</v>
      </c>
      <c r="W3" s="60" t="s">
        <v>125</v>
      </c>
      <c r="X3" s="60" t="s">
        <v>8</v>
      </c>
      <c r="Y3" s="61" t="s">
        <v>125</v>
      </c>
      <c r="Z3" s="60" t="s">
        <v>8</v>
      </c>
      <c r="AA3" s="61" t="s">
        <v>125</v>
      </c>
    </row>
    <row r="4" spans="2:29" s="8" customFormat="1" x14ac:dyDescent="0.3">
      <c r="B4" s="16" t="s">
        <v>33</v>
      </c>
      <c r="C4" s="28">
        <f>+C5+C11+C15+C19+C22</f>
        <v>65028084</v>
      </c>
      <c r="D4" s="28">
        <f>+D5+D11+D15+D19+D22</f>
        <v>65028084</v>
      </c>
      <c r="E4" s="88">
        <f>+E5+E11+E15+E19+E22</f>
        <v>0</v>
      </c>
      <c r="F4" s="74">
        <f t="shared" ref="F4:Y4" si="0">+F5+F11+F15+F19+F22</f>
        <v>0</v>
      </c>
      <c r="G4" s="28">
        <f t="shared" si="0"/>
        <v>0</v>
      </c>
      <c r="H4" s="28">
        <f t="shared" si="0"/>
        <v>528500</v>
      </c>
      <c r="I4" s="75">
        <f t="shared" si="0"/>
        <v>0</v>
      </c>
      <c r="J4" s="92">
        <f t="shared" si="0"/>
        <v>1080475.625</v>
      </c>
      <c r="K4" s="28">
        <f t="shared" si="0"/>
        <v>0</v>
      </c>
      <c r="L4" s="28">
        <f t="shared" si="0"/>
        <v>8450943.125</v>
      </c>
      <c r="M4" s="88">
        <f t="shared" si="0"/>
        <v>0</v>
      </c>
      <c r="N4" s="74">
        <f t="shared" si="0"/>
        <v>9136263.1484999992</v>
      </c>
      <c r="O4" s="28">
        <f t="shared" si="0"/>
        <v>0</v>
      </c>
      <c r="P4" s="28">
        <f t="shared" si="0"/>
        <v>11769722.3465</v>
      </c>
      <c r="Q4" s="75">
        <f t="shared" si="0"/>
        <v>0</v>
      </c>
      <c r="R4" s="92">
        <f t="shared" si="0"/>
        <v>12518542.0415</v>
      </c>
      <c r="S4" s="28">
        <f t="shared" si="0"/>
        <v>0</v>
      </c>
      <c r="T4" s="28">
        <f t="shared" si="0"/>
        <v>10675960.1985</v>
      </c>
      <c r="U4" s="88">
        <f t="shared" si="0"/>
        <v>0</v>
      </c>
      <c r="V4" s="74">
        <f t="shared" si="0"/>
        <v>9757190.1750000007</v>
      </c>
      <c r="W4" s="28">
        <f t="shared" si="0"/>
        <v>0</v>
      </c>
      <c r="X4" s="28">
        <f t="shared" si="0"/>
        <v>1110487</v>
      </c>
      <c r="Y4" s="75">
        <f t="shared" si="0"/>
        <v>0</v>
      </c>
      <c r="Z4" s="58">
        <f t="shared" ref="Z4:Z23" si="1">+X4+V4+T4+R4+P4+N4+L4+J4+H63+H4+F4</f>
        <v>65028083.659999996</v>
      </c>
      <c r="AA4" s="102">
        <f t="shared" ref="AA4:AA23" si="2">+Y4+W4+U4+S4+Q4+O4+M4+K4+I63+I4+G4</f>
        <v>0</v>
      </c>
    </row>
    <row r="5" spans="2:29" x14ac:dyDescent="0.3">
      <c r="B5" s="19" t="s">
        <v>37</v>
      </c>
      <c r="C5" s="29">
        <f>SUM(C6:C10)</f>
        <v>48520000</v>
      </c>
      <c r="D5" s="29">
        <f>SUM(D6:D10)</f>
        <v>48520000</v>
      </c>
      <c r="E5" s="89">
        <f>SUM(E6:E9)</f>
        <v>0</v>
      </c>
      <c r="F5" s="94">
        <f t="shared" ref="F5:Y5" si="3">SUM(F6:F10)</f>
        <v>0</v>
      </c>
      <c r="G5" s="29">
        <f t="shared" si="3"/>
        <v>0</v>
      </c>
      <c r="H5" s="29">
        <f t="shared" si="3"/>
        <v>503500</v>
      </c>
      <c r="I5" s="95">
        <f t="shared" si="3"/>
        <v>0</v>
      </c>
      <c r="J5" s="93">
        <f t="shared" si="3"/>
        <v>725500</v>
      </c>
      <c r="K5" s="29">
        <f t="shared" si="3"/>
        <v>0</v>
      </c>
      <c r="L5" s="29">
        <f t="shared" si="3"/>
        <v>7453500</v>
      </c>
      <c r="M5" s="89">
        <f t="shared" si="3"/>
        <v>0</v>
      </c>
      <c r="N5" s="94">
        <f t="shared" si="3"/>
        <v>7187500</v>
      </c>
      <c r="O5" s="29">
        <f t="shared" si="3"/>
        <v>0</v>
      </c>
      <c r="P5" s="29">
        <f t="shared" si="3"/>
        <v>9287500</v>
      </c>
      <c r="Q5" s="95">
        <f t="shared" si="3"/>
        <v>0</v>
      </c>
      <c r="R5" s="93">
        <f t="shared" si="3"/>
        <v>9287500</v>
      </c>
      <c r="S5" s="29">
        <f t="shared" si="3"/>
        <v>0</v>
      </c>
      <c r="T5" s="29">
        <f t="shared" si="3"/>
        <v>7037500</v>
      </c>
      <c r="U5" s="89">
        <f t="shared" si="3"/>
        <v>0</v>
      </c>
      <c r="V5" s="94">
        <f t="shared" si="3"/>
        <v>7037500</v>
      </c>
      <c r="W5" s="29">
        <f t="shared" si="3"/>
        <v>0</v>
      </c>
      <c r="X5" s="29">
        <f t="shared" si="3"/>
        <v>0</v>
      </c>
      <c r="Y5" s="95">
        <f t="shared" si="3"/>
        <v>0</v>
      </c>
      <c r="Z5" s="27">
        <f t="shared" si="1"/>
        <v>48520000</v>
      </c>
      <c r="AA5" s="2">
        <f t="shared" si="2"/>
        <v>0</v>
      </c>
    </row>
    <row r="6" spans="2:29" x14ac:dyDescent="0.3">
      <c r="B6" s="32" t="s">
        <v>116</v>
      </c>
      <c r="C6" s="38">
        <v>45000000</v>
      </c>
      <c r="D6" s="30">
        <f>+C6</f>
        <v>45000000</v>
      </c>
      <c r="E6" s="90">
        <v>0</v>
      </c>
      <c r="F6" s="4">
        <v>0</v>
      </c>
      <c r="G6" s="5">
        <v>0</v>
      </c>
      <c r="H6" s="5">
        <v>0</v>
      </c>
      <c r="I6" s="6">
        <v>0</v>
      </c>
      <c r="J6" s="7">
        <v>0</v>
      </c>
      <c r="K6" s="5">
        <v>0</v>
      </c>
      <c r="L6" s="5">
        <f>+D6*0.15</f>
        <v>6750000</v>
      </c>
      <c r="M6" s="98">
        <v>0</v>
      </c>
      <c r="N6" s="4">
        <f>+D6*0.15</f>
        <v>6750000</v>
      </c>
      <c r="O6" s="5">
        <v>0</v>
      </c>
      <c r="P6" s="5">
        <f>+D6*0.2</f>
        <v>9000000</v>
      </c>
      <c r="Q6" s="6">
        <v>0</v>
      </c>
      <c r="R6" s="7">
        <f>+D6*0.2</f>
        <v>9000000</v>
      </c>
      <c r="S6" s="5">
        <v>0</v>
      </c>
      <c r="T6" s="5">
        <f>+D6*0.15</f>
        <v>6750000</v>
      </c>
      <c r="U6" s="98">
        <v>0</v>
      </c>
      <c r="V6" s="4">
        <f>+D6*0.15</f>
        <v>6750000</v>
      </c>
      <c r="W6" s="5">
        <v>0</v>
      </c>
      <c r="X6" s="5">
        <v>0</v>
      </c>
      <c r="Y6" s="6">
        <v>0</v>
      </c>
      <c r="Z6" s="7">
        <f t="shared" si="1"/>
        <v>45000000</v>
      </c>
      <c r="AA6" s="6">
        <f t="shared" si="2"/>
        <v>0</v>
      </c>
    </row>
    <row r="7" spans="2:29" ht="12.75" x14ac:dyDescent="0.2">
      <c r="B7" s="32" t="s">
        <v>95</v>
      </c>
      <c r="C7" s="38">
        <v>1000000</v>
      </c>
      <c r="D7" s="30">
        <f>+C7</f>
        <v>1000000</v>
      </c>
      <c r="E7" s="90"/>
      <c r="F7" s="4">
        <v>0</v>
      </c>
      <c r="G7" s="5">
        <v>0</v>
      </c>
      <c r="H7" s="5">
        <f>+D7*0.15</f>
        <v>150000</v>
      </c>
      <c r="I7" s="6">
        <v>0</v>
      </c>
      <c r="J7" s="7">
        <f>+D7*0.35</f>
        <v>350000</v>
      </c>
      <c r="K7" s="5">
        <v>0</v>
      </c>
      <c r="L7" s="5">
        <f>+D7*0.35</f>
        <v>350000</v>
      </c>
      <c r="M7" s="98">
        <v>0</v>
      </c>
      <c r="N7" s="4">
        <f>+D7*0.15</f>
        <v>150000</v>
      </c>
      <c r="O7" s="5">
        <v>0</v>
      </c>
      <c r="P7" s="5">
        <v>0</v>
      </c>
      <c r="Q7" s="6">
        <v>0</v>
      </c>
      <c r="R7" s="7">
        <v>0</v>
      </c>
      <c r="S7" s="5">
        <v>0</v>
      </c>
      <c r="T7" s="5">
        <v>0</v>
      </c>
      <c r="U7" s="98">
        <v>0</v>
      </c>
      <c r="V7" s="4">
        <v>0</v>
      </c>
      <c r="W7" s="5">
        <v>0</v>
      </c>
      <c r="X7" s="5">
        <v>0</v>
      </c>
      <c r="Y7" s="6">
        <v>0</v>
      </c>
      <c r="Z7" s="7">
        <f t="shared" si="1"/>
        <v>1000000</v>
      </c>
      <c r="AA7" s="6">
        <f t="shared" si="2"/>
        <v>0</v>
      </c>
    </row>
    <row r="8" spans="2:29" x14ac:dyDescent="0.3">
      <c r="B8" s="20" t="s">
        <v>121</v>
      </c>
      <c r="C8" s="38">
        <f>+C6*0.04</f>
        <v>1800000</v>
      </c>
      <c r="D8" s="30">
        <f>+C8</f>
        <v>1800000</v>
      </c>
      <c r="E8" s="90">
        <v>0</v>
      </c>
      <c r="F8" s="4">
        <v>0</v>
      </c>
      <c r="G8" s="5">
        <v>0</v>
      </c>
      <c r="H8" s="5">
        <f>+D8*0.125</f>
        <v>225000</v>
      </c>
      <c r="I8" s="6">
        <v>0</v>
      </c>
      <c r="J8" s="7">
        <f>+H8</f>
        <v>225000</v>
      </c>
      <c r="K8" s="5">
        <v>0</v>
      </c>
      <c r="L8" s="5">
        <f>+J8</f>
        <v>225000</v>
      </c>
      <c r="M8" s="98">
        <v>0</v>
      </c>
      <c r="N8" s="4">
        <f>+L8</f>
        <v>225000</v>
      </c>
      <c r="O8" s="5">
        <v>0</v>
      </c>
      <c r="P8" s="5">
        <f>+N8</f>
        <v>225000</v>
      </c>
      <c r="Q8" s="6">
        <v>0</v>
      </c>
      <c r="R8" s="7">
        <f>+P8</f>
        <v>225000</v>
      </c>
      <c r="S8" s="5">
        <v>0</v>
      </c>
      <c r="T8" s="5">
        <f>+R8</f>
        <v>225000</v>
      </c>
      <c r="U8" s="98">
        <v>0</v>
      </c>
      <c r="V8" s="4">
        <f>+T8</f>
        <v>225000</v>
      </c>
      <c r="W8" s="5">
        <v>0</v>
      </c>
      <c r="X8" s="5">
        <v>0</v>
      </c>
      <c r="Y8" s="6">
        <v>0</v>
      </c>
      <c r="Z8" s="7">
        <f t="shared" si="1"/>
        <v>1800000</v>
      </c>
      <c r="AA8" s="6">
        <f t="shared" si="2"/>
        <v>0</v>
      </c>
    </row>
    <row r="9" spans="2:29" ht="12.75" x14ac:dyDescent="0.2">
      <c r="B9" s="20" t="s">
        <v>34</v>
      </c>
      <c r="C9" s="38">
        <v>500000</v>
      </c>
      <c r="D9" s="30">
        <f>+C9</f>
        <v>500000</v>
      </c>
      <c r="E9" s="90">
        <v>0</v>
      </c>
      <c r="F9" s="4">
        <v>0</v>
      </c>
      <c r="G9" s="5">
        <v>0</v>
      </c>
      <c r="H9" s="5">
        <f>+D9*0.125</f>
        <v>62500</v>
      </c>
      <c r="I9" s="6">
        <v>0</v>
      </c>
      <c r="J9" s="7">
        <f>+H9</f>
        <v>62500</v>
      </c>
      <c r="K9" s="5">
        <v>0</v>
      </c>
      <c r="L9" s="5">
        <f>+J9</f>
        <v>62500</v>
      </c>
      <c r="M9" s="98">
        <v>0</v>
      </c>
      <c r="N9" s="4">
        <f>+L9</f>
        <v>62500</v>
      </c>
      <c r="O9" s="5">
        <v>0</v>
      </c>
      <c r="P9" s="5">
        <f>+N9</f>
        <v>62500</v>
      </c>
      <c r="Q9" s="6">
        <v>0</v>
      </c>
      <c r="R9" s="7">
        <f>+P9</f>
        <v>62500</v>
      </c>
      <c r="S9" s="5">
        <v>0</v>
      </c>
      <c r="T9" s="5">
        <f>+R9</f>
        <v>62500</v>
      </c>
      <c r="U9" s="98">
        <v>0</v>
      </c>
      <c r="V9" s="4">
        <f>+T9</f>
        <v>62500</v>
      </c>
      <c r="W9" s="5">
        <v>0</v>
      </c>
      <c r="X9" s="5">
        <v>0</v>
      </c>
      <c r="Y9" s="6">
        <v>0</v>
      </c>
      <c r="Z9" s="7">
        <f t="shared" si="1"/>
        <v>500000</v>
      </c>
      <c r="AA9" s="6">
        <f t="shared" si="2"/>
        <v>0</v>
      </c>
    </row>
    <row r="10" spans="2:29" x14ac:dyDescent="0.3">
      <c r="B10" s="20" t="s">
        <v>120</v>
      </c>
      <c r="C10" s="30">
        <v>220000</v>
      </c>
      <c r="D10" s="30">
        <f>+C10</f>
        <v>220000</v>
      </c>
      <c r="E10" s="90"/>
      <c r="F10" s="4">
        <v>0</v>
      </c>
      <c r="G10" s="7">
        <v>0</v>
      </c>
      <c r="H10" s="5">
        <f>+D10*0.3</f>
        <v>66000</v>
      </c>
      <c r="I10" s="96">
        <v>0</v>
      </c>
      <c r="J10" s="7">
        <f>+D10*0.4</f>
        <v>88000</v>
      </c>
      <c r="K10" s="7">
        <v>0</v>
      </c>
      <c r="L10" s="5">
        <f>+D10*0.3</f>
        <v>66000</v>
      </c>
      <c r="M10" s="99">
        <v>0</v>
      </c>
      <c r="N10" s="4">
        <v>0</v>
      </c>
      <c r="O10" s="7">
        <v>0</v>
      </c>
      <c r="P10" s="5">
        <v>0</v>
      </c>
      <c r="Q10" s="96">
        <v>0</v>
      </c>
      <c r="R10" s="7">
        <v>0</v>
      </c>
      <c r="S10" s="7">
        <v>0</v>
      </c>
      <c r="T10" s="5">
        <v>0</v>
      </c>
      <c r="U10" s="99">
        <v>0</v>
      </c>
      <c r="V10" s="4">
        <v>0</v>
      </c>
      <c r="W10" s="7">
        <v>0</v>
      </c>
      <c r="X10" s="5">
        <v>0</v>
      </c>
      <c r="Y10" s="96">
        <v>0</v>
      </c>
      <c r="Z10" s="7">
        <f t="shared" si="1"/>
        <v>220000</v>
      </c>
      <c r="AA10" s="6">
        <f t="shared" si="2"/>
        <v>0</v>
      </c>
    </row>
    <row r="11" spans="2:29" ht="12.75" x14ac:dyDescent="0.2">
      <c r="B11" s="19" t="s">
        <v>97</v>
      </c>
      <c r="C11" s="29">
        <f>SUM(C12:C14)</f>
        <v>8800000</v>
      </c>
      <c r="D11" s="29">
        <f>SUM(D12:D14)</f>
        <v>8800000</v>
      </c>
      <c r="E11" s="89">
        <f>SUM(E12:E14)</f>
        <v>0</v>
      </c>
      <c r="F11" s="26">
        <f t="shared" ref="F11:Y11" si="4">SUM(F12:F14)</f>
        <v>0</v>
      </c>
      <c r="G11" s="22">
        <f t="shared" si="4"/>
        <v>0</v>
      </c>
      <c r="H11" s="22">
        <f t="shared" si="4"/>
        <v>0</v>
      </c>
      <c r="I11" s="2">
        <f t="shared" si="4"/>
        <v>0</v>
      </c>
      <c r="J11" s="27">
        <f t="shared" si="4"/>
        <v>329975.625</v>
      </c>
      <c r="K11" s="22">
        <f t="shared" si="4"/>
        <v>0</v>
      </c>
      <c r="L11" s="22">
        <f t="shared" si="4"/>
        <v>769943.125</v>
      </c>
      <c r="M11" s="100">
        <f t="shared" si="4"/>
        <v>0</v>
      </c>
      <c r="N11" s="26">
        <f t="shared" si="4"/>
        <v>1099918.75</v>
      </c>
      <c r="O11" s="22">
        <f t="shared" si="4"/>
        <v>0</v>
      </c>
      <c r="P11" s="22">
        <f t="shared" si="4"/>
        <v>1099918.75</v>
      </c>
      <c r="Q11" s="2">
        <f t="shared" si="4"/>
        <v>0</v>
      </c>
      <c r="R11" s="27">
        <f t="shared" si="4"/>
        <v>1429894.375</v>
      </c>
      <c r="S11" s="22">
        <f t="shared" si="4"/>
        <v>0</v>
      </c>
      <c r="T11" s="22">
        <f t="shared" si="4"/>
        <v>1837311.875</v>
      </c>
      <c r="U11" s="100">
        <f t="shared" si="4"/>
        <v>0</v>
      </c>
      <c r="V11" s="26">
        <f t="shared" si="4"/>
        <v>1539886.25</v>
      </c>
      <c r="W11" s="22">
        <f t="shared" si="4"/>
        <v>0</v>
      </c>
      <c r="X11" s="22">
        <f t="shared" si="4"/>
        <v>693151</v>
      </c>
      <c r="Y11" s="2">
        <f t="shared" si="4"/>
        <v>0</v>
      </c>
      <c r="Z11" s="120">
        <f t="shared" si="1"/>
        <v>8799999.75</v>
      </c>
      <c r="AA11" s="109">
        <f t="shared" si="2"/>
        <v>0</v>
      </c>
    </row>
    <row r="12" spans="2:29" ht="12.75" x14ac:dyDescent="0.2">
      <c r="B12" s="20" t="s">
        <v>115</v>
      </c>
      <c r="C12" s="30">
        <f>+D12</f>
        <v>8110000</v>
      </c>
      <c r="D12" s="30">
        <v>8110000</v>
      </c>
      <c r="E12" s="90">
        <v>0</v>
      </c>
      <c r="F12" s="4">
        <v>0</v>
      </c>
      <c r="G12" s="5">
        <v>0</v>
      </c>
      <c r="H12" s="5">
        <v>0</v>
      </c>
      <c r="I12" s="6">
        <v>0</v>
      </c>
      <c r="J12" s="7">
        <f>+D12*0.15/4</f>
        <v>304125</v>
      </c>
      <c r="K12" s="5">
        <v>0</v>
      </c>
      <c r="L12" s="5">
        <f>+D12*0.35/4</f>
        <v>709625</v>
      </c>
      <c r="M12" s="98">
        <v>0</v>
      </c>
      <c r="N12" s="4">
        <f>+(D12*0.35/4)+304125</f>
        <v>1013750</v>
      </c>
      <c r="O12" s="5">
        <v>0</v>
      </c>
      <c r="P12" s="5">
        <f>+(D12*0.15/4)+709625</f>
        <v>1013750</v>
      </c>
      <c r="Q12" s="6">
        <v>0</v>
      </c>
      <c r="R12" s="7">
        <f>+(D12*0.35/4)+(304125*2)</f>
        <v>1317875</v>
      </c>
      <c r="S12" s="5">
        <v>0</v>
      </c>
      <c r="T12" s="5">
        <f>274125+(709625*2)</f>
        <v>1693375</v>
      </c>
      <c r="U12" s="98">
        <v>0</v>
      </c>
      <c r="V12" s="4">
        <f>+(709625*2)</f>
        <v>1419250</v>
      </c>
      <c r="W12" s="5">
        <v>0</v>
      </c>
      <c r="X12" s="5">
        <v>638250</v>
      </c>
      <c r="Y12" s="6">
        <v>0</v>
      </c>
      <c r="Z12" s="7">
        <f t="shared" si="1"/>
        <v>8110000</v>
      </c>
      <c r="AA12" s="6">
        <f t="shared" si="2"/>
        <v>0</v>
      </c>
      <c r="AC12" s="33"/>
    </row>
    <row r="13" spans="2:29" x14ac:dyDescent="0.3">
      <c r="B13" s="20" t="s">
        <v>121</v>
      </c>
      <c r="C13" s="30">
        <v>290000</v>
      </c>
      <c r="D13" s="30">
        <f>+C13</f>
        <v>290000</v>
      </c>
      <c r="E13" s="90">
        <v>0</v>
      </c>
      <c r="F13" s="4">
        <v>0</v>
      </c>
      <c r="G13" s="5">
        <v>0</v>
      </c>
      <c r="H13" s="5">
        <v>0</v>
      </c>
      <c r="I13" s="6">
        <v>0</v>
      </c>
      <c r="J13" s="7">
        <f>+J12*0.036</f>
        <v>10948.5</v>
      </c>
      <c r="K13" s="5">
        <v>0</v>
      </c>
      <c r="L13" s="5">
        <f>+L12*0.036</f>
        <v>25546.499999999996</v>
      </c>
      <c r="M13" s="98">
        <v>0</v>
      </c>
      <c r="N13" s="4">
        <f>+N12*0.036</f>
        <v>36495</v>
      </c>
      <c r="O13" s="5">
        <v>0</v>
      </c>
      <c r="P13" s="5">
        <f>+P12*0.036</f>
        <v>36495</v>
      </c>
      <c r="Q13" s="6">
        <v>0</v>
      </c>
      <c r="R13" s="7">
        <f>+R12*0.036</f>
        <v>47443.5</v>
      </c>
      <c r="S13" s="5">
        <v>0</v>
      </c>
      <c r="T13" s="5">
        <f>+T12*0.036</f>
        <v>60961.499999999993</v>
      </c>
      <c r="U13" s="98">
        <v>0</v>
      </c>
      <c r="V13" s="4">
        <f>+V12*0.036</f>
        <v>51092.999999999993</v>
      </c>
      <c r="W13" s="5">
        <v>0</v>
      </c>
      <c r="X13" s="5">
        <v>21017</v>
      </c>
      <c r="Y13" s="6">
        <v>0</v>
      </c>
      <c r="Z13" s="7">
        <f t="shared" si="1"/>
        <v>290000</v>
      </c>
      <c r="AA13" s="6">
        <f t="shared" si="2"/>
        <v>0</v>
      </c>
      <c r="AB13" s="33"/>
    </row>
    <row r="14" spans="2:29" ht="12.75" x14ac:dyDescent="0.2">
      <c r="B14" s="20" t="s">
        <v>34</v>
      </c>
      <c r="C14" s="30">
        <v>400000</v>
      </c>
      <c r="D14" s="30">
        <f>+C14</f>
        <v>400000</v>
      </c>
      <c r="E14" s="90">
        <v>0</v>
      </c>
      <c r="F14" s="4">
        <v>0</v>
      </c>
      <c r="G14" s="5">
        <v>0</v>
      </c>
      <c r="H14" s="5">
        <v>0</v>
      </c>
      <c r="I14" s="6">
        <v>0</v>
      </c>
      <c r="J14" s="7">
        <f>+J12*0.049</f>
        <v>14902.125</v>
      </c>
      <c r="K14" s="5">
        <v>0</v>
      </c>
      <c r="L14" s="5">
        <f>+L12*0.049</f>
        <v>34771.625</v>
      </c>
      <c r="M14" s="98">
        <v>0</v>
      </c>
      <c r="N14" s="4">
        <f>+N12*0.049</f>
        <v>49673.75</v>
      </c>
      <c r="O14" s="5">
        <v>0</v>
      </c>
      <c r="P14" s="5">
        <f>+P12*0.049</f>
        <v>49673.75</v>
      </c>
      <c r="Q14" s="6">
        <v>0</v>
      </c>
      <c r="R14" s="7">
        <f>+R12*0.049</f>
        <v>64575.875</v>
      </c>
      <c r="S14" s="5">
        <v>0</v>
      </c>
      <c r="T14" s="5">
        <f>+T12*0.049</f>
        <v>82975.375</v>
      </c>
      <c r="U14" s="98">
        <v>0</v>
      </c>
      <c r="V14" s="4">
        <f>+V12*0.049</f>
        <v>69543.25</v>
      </c>
      <c r="W14" s="5">
        <v>0</v>
      </c>
      <c r="X14" s="5">
        <v>33884</v>
      </c>
      <c r="Y14" s="6">
        <v>0</v>
      </c>
      <c r="Z14" s="7">
        <f t="shared" si="1"/>
        <v>399999.75</v>
      </c>
      <c r="AA14" s="6">
        <f t="shared" si="2"/>
        <v>0</v>
      </c>
      <c r="AC14" s="33"/>
    </row>
    <row r="15" spans="2:29" ht="12.75" x14ac:dyDescent="0.2">
      <c r="B15" s="19" t="s">
        <v>96</v>
      </c>
      <c r="C15" s="29">
        <f>SUM(C16:C18)</f>
        <v>5583084</v>
      </c>
      <c r="D15" s="29">
        <f>SUM(D16:D18)</f>
        <v>5583084</v>
      </c>
      <c r="E15" s="89">
        <f>SUM(E16:E18)</f>
        <v>0</v>
      </c>
      <c r="F15" s="26">
        <f t="shared" ref="F15:Y15" si="5">SUM(F16:F18)</f>
        <v>0</v>
      </c>
      <c r="G15" s="22">
        <f t="shared" si="5"/>
        <v>0</v>
      </c>
      <c r="H15" s="22">
        <f t="shared" si="5"/>
        <v>0</v>
      </c>
      <c r="I15" s="2">
        <f t="shared" si="5"/>
        <v>0</v>
      </c>
      <c r="J15" s="27">
        <f t="shared" si="5"/>
        <v>0</v>
      </c>
      <c r="K15" s="22">
        <f t="shared" si="5"/>
        <v>0</v>
      </c>
      <c r="L15" s="22">
        <f t="shared" si="5"/>
        <v>0</v>
      </c>
      <c r="M15" s="100">
        <f t="shared" si="5"/>
        <v>0</v>
      </c>
      <c r="N15" s="26">
        <f t="shared" si="5"/>
        <v>418844.39850000001</v>
      </c>
      <c r="O15" s="22">
        <f t="shared" si="5"/>
        <v>0</v>
      </c>
      <c r="P15" s="22">
        <f t="shared" si="5"/>
        <v>977303.59649999999</v>
      </c>
      <c r="Q15" s="2">
        <f t="shared" si="5"/>
        <v>0</v>
      </c>
      <c r="R15" s="27">
        <f t="shared" si="5"/>
        <v>1396147.6665000001</v>
      </c>
      <c r="S15" s="22">
        <f t="shared" si="5"/>
        <v>0</v>
      </c>
      <c r="T15" s="22">
        <f t="shared" si="5"/>
        <v>1396148.3235000002</v>
      </c>
      <c r="U15" s="100">
        <f t="shared" si="5"/>
        <v>0</v>
      </c>
      <c r="V15" s="26">
        <f t="shared" si="5"/>
        <v>977303.92500000005</v>
      </c>
      <c r="W15" s="22">
        <f t="shared" si="5"/>
        <v>0</v>
      </c>
      <c r="X15" s="22">
        <f t="shared" si="5"/>
        <v>417336</v>
      </c>
      <c r="Y15" s="2">
        <f t="shared" si="5"/>
        <v>0</v>
      </c>
      <c r="Z15" s="120">
        <f t="shared" si="1"/>
        <v>5583083.9100000001</v>
      </c>
      <c r="AA15" s="109">
        <f t="shared" si="2"/>
        <v>0</v>
      </c>
    </row>
    <row r="16" spans="2:29" ht="12.75" x14ac:dyDescent="0.2">
      <c r="B16" s="20" t="s">
        <v>114</v>
      </c>
      <c r="C16" s="30">
        <f>+D16</f>
        <v>5100084</v>
      </c>
      <c r="D16" s="30">
        <v>5100084</v>
      </c>
      <c r="E16" s="90">
        <v>0</v>
      </c>
      <c r="F16" s="4">
        <v>0</v>
      </c>
      <c r="G16" s="5">
        <v>0</v>
      </c>
      <c r="H16" s="5">
        <v>0</v>
      </c>
      <c r="I16" s="6">
        <v>0</v>
      </c>
      <c r="J16" s="7">
        <v>0</v>
      </c>
      <c r="K16" s="5">
        <v>0</v>
      </c>
      <c r="L16" s="5">
        <v>0</v>
      </c>
      <c r="M16" s="98">
        <v>0</v>
      </c>
      <c r="N16" s="4">
        <f>+D16*0.15/2</f>
        <v>382506.3</v>
      </c>
      <c r="O16" s="5">
        <v>0</v>
      </c>
      <c r="P16" s="5">
        <f>+D16*0.35/2</f>
        <v>892514.7</v>
      </c>
      <c r="Q16" s="6">
        <v>0</v>
      </c>
      <c r="R16" s="7">
        <f>+(D16*0.35/2)+382506</f>
        <v>1275020.7</v>
      </c>
      <c r="S16" s="5">
        <v>0</v>
      </c>
      <c r="T16" s="5">
        <f>+(D16*0.15/2)+892515</f>
        <v>1275021.3</v>
      </c>
      <c r="U16" s="98">
        <v>0</v>
      </c>
      <c r="V16" s="4">
        <v>892515</v>
      </c>
      <c r="W16" s="5"/>
      <c r="X16" s="5">
        <v>382506</v>
      </c>
      <c r="Y16" s="6"/>
      <c r="Z16" s="7">
        <f t="shared" si="1"/>
        <v>5100084</v>
      </c>
      <c r="AA16" s="6">
        <f t="shared" si="2"/>
        <v>0</v>
      </c>
    </row>
    <row r="17" spans="2:28" x14ac:dyDescent="0.3">
      <c r="B17" s="20" t="s">
        <v>121</v>
      </c>
      <c r="C17" s="30">
        <v>183000</v>
      </c>
      <c r="D17" s="30">
        <f>+C17</f>
        <v>183000</v>
      </c>
      <c r="E17" s="90">
        <v>0</v>
      </c>
      <c r="F17" s="4">
        <v>0</v>
      </c>
      <c r="G17" s="5">
        <v>0</v>
      </c>
      <c r="H17" s="5">
        <v>0</v>
      </c>
      <c r="I17" s="6">
        <v>0</v>
      </c>
      <c r="J17" s="7">
        <v>0</v>
      </c>
      <c r="K17" s="5">
        <v>0</v>
      </c>
      <c r="L17" s="5">
        <v>0</v>
      </c>
      <c r="M17" s="98">
        <v>0</v>
      </c>
      <c r="N17" s="4">
        <f>+N16*0.036</f>
        <v>13770.226799999999</v>
      </c>
      <c r="O17" s="5">
        <v>0</v>
      </c>
      <c r="P17" s="5">
        <f>+P16*0.036</f>
        <v>32130.529199999997</v>
      </c>
      <c r="Q17" s="6">
        <v>0</v>
      </c>
      <c r="R17" s="7">
        <f>+R16*0.036</f>
        <v>45900.745199999998</v>
      </c>
      <c r="S17" s="5">
        <v>0</v>
      </c>
      <c r="T17" s="5">
        <f>+T16*0.036</f>
        <v>45900.766799999998</v>
      </c>
      <c r="U17" s="98">
        <v>0</v>
      </c>
      <c r="V17" s="4">
        <f>+V16*0.036</f>
        <v>32130.539999999997</v>
      </c>
      <c r="W17" s="5">
        <v>0</v>
      </c>
      <c r="X17" s="5">
        <v>13167</v>
      </c>
      <c r="Y17" s="6"/>
      <c r="Z17" s="7">
        <f t="shared" si="1"/>
        <v>182999.80799999999</v>
      </c>
      <c r="AA17" s="6">
        <f t="shared" si="2"/>
        <v>0</v>
      </c>
      <c r="AB17" s="33"/>
    </row>
    <row r="18" spans="2:28" ht="12.75" x14ac:dyDescent="0.2">
      <c r="B18" s="20" t="s">
        <v>34</v>
      </c>
      <c r="C18" s="30">
        <v>300000</v>
      </c>
      <c r="D18" s="30">
        <f>+C18</f>
        <v>300000</v>
      </c>
      <c r="E18" s="90">
        <v>0</v>
      </c>
      <c r="F18" s="4">
        <v>0</v>
      </c>
      <c r="G18" s="5">
        <v>0</v>
      </c>
      <c r="H18" s="5">
        <v>0</v>
      </c>
      <c r="I18" s="6">
        <v>0</v>
      </c>
      <c r="J18" s="7">
        <v>0</v>
      </c>
      <c r="K18" s="5">
        <v>0</v>
      </c>
      <c r="L18" s="5">
        <v>0</v>
      </c>
      <c r="M18" s="98">
        <v>0</v>
      </c>
      <c r="N18" s="4">
        <f>+N16*0.059</f>
        <v>22567.8717</v>
      </c>
      <c r="O18" s="5">
        <v>0</v>
      </c>
      <c r="P18" s="5">
        <f>+P16*0.059</f>
        <v>52658.367299999998</v>
      </c>
      <c r="Q18" s="6">
        <v>0</v>
      </c>
      <c r="R18" s="7">
        <f>+R16*0.059</f>
        <v>75226.22129999999</v>
      </c>
      <c r="S18" s="5">
        <v>0</v>
      </c>
      <c r="T18" s="5">
        <f>+T16*0.059</f>
        <v>75226.256699999998</v>
      </c>
      <c r="U18" s="98">
        <v>0</v>
      </c>
      <c r="V18" s="4">
        <f>+V16*0.059</f>
        <v>52658.384999999995</v>
      </c>
      <c r="W18" s="5">
        <v>0</v>
      </c>
      <c r="X18" s="5">
        <v>21663</v>
      </c>
      <c r="Y18" s="6"/>
      <c r="Z18" s="7">
        <f t="shared" si="1"/>
        <v>300000.10199999996</v>
      </c>
      <c r="AA18" s="6">
        <f t="shared" si="2"/>
        <v>0</v>
      </c>
      <c r="AB18" s="33"/>
    </row>
    <row r="19" spans="2:28" ht="12.75" x14ac:dyDescent="0.2">
      <c r="B19" s="19" t="s">
        <v>98</v>
      </c>
      <c r="C19" s="29">
        <f>+C20+C21</f>
        <v>2025000</v>
      </c>
      <c r="D19" s="29">
        <f>+D20+D21</f>
        <v>2025000</v>
      </c>
      <c r="E19" s="89">
        <f>+E20+E21</f>
        <v>0</v>
      </c>
      <c r="F19" s="26">
        <f t="shared" ref="F19:Y19" si="6">+F20+F21</f>
        <v>0</v>
      </c>
      <c r="G19" s="22">
        <f t="shared" si="6"/>
        <v>0</v>
      </c>
      <c r="H19" s="22">
        <f t="shared" si="6"/>
        <v>0</v>
      </c>
      <c r="I19" s="2">
        <f t="shared" si="6"/>
        <v>0</v>
      </c>
      <c r="J19" s="27">
        <f t="shared" si="6"/>
        <v>0</v>
      </c>
      <c r="K19" s="22">
        <f t="shared" si="6"/>
        <v>0</v>
      </c>
      <c r="L19" s="22">
        <f t="shared" si="6"/>
        <v>202500</v>
      </c>
      <c r="M19" s="100">
        <f t="shared" si="6"/>
        <v>0</v>
      </c>
      <c r="N19" s="26">
        <f t="shared" si="6"/>
        <v>405000</v>
      </c>
      <c r="O19" s="22">
        <f t="shared" si="6"/>
        <v>0</v>
      </c>
      <c r="P19" s="22">
        <f t="shared" si="6"/>
        <v>405000</v>
      </c>
      <c r="Q19" s="2">
        <f t="shared" si="6"/>
        <v>0</v>
      </c>
      <c r="R19" s="27">
        <f t="shared" si="6"/>
        <v>405000</v>
      </c>
      <c r="S19" s="22">
        <f t="shared" si="6"/>
        <v>0</v>
      </c>
      <c r="T19" s="22">
        <f t="shared" si="6"/>
        <v>405000</v>
      </c>
      <c r="U19" s="100">
        <f t="shared" si="6"/>
        <v>0</v>
      </c>
      <c r="V19" s="26">
        <f t="shared" si="6"/>
        <v>202500</v>
      </c>
      <c r="W19" s="22">
        <f t="shared" si="6"/>
        <v>0</v>
      </c>
      <c r="X19" s="22">
        <f t="shared" si="6"/>
        <v>0</v>
      </c>
      <c r="Y19" s="2">
        <f t="shared" si="6"/>
        <v>0</v>
      </c>
      <c r="Z19" s="120">
        <f t="shared" si="1"/>
        <v>2025000</v>
      </c>
      <c r="AA19" s="109">
        <f t="shared" si="2"/>
        <v>0</v>
      </c>
    </row>
    <row r="20" spans="2:28" ht="27.6" x14ac:dyDescent="0.3">
      <c r="B20" s="32" t="s">
        <v>124</v>
      </c>
      <c r="C20" s="30">
        <v>425000</v>
      </c>
      <c r="D20" s="30">
        <f>+C20</f>
        <v>425000</v>
      </c>
      <c r="E20" s="90">
        <v>0</v>
      </c>
      <c r="F20" s="4">
        <v>0</v>
      </c>
      <c r="G20" s="5">
        <v>0</v>
      </c>
      <c r="H20" s="5">
        <v>0</v>
      </c>
      <c r="I20" s="6">
        <v>0</v>
      </c>
      <c r="J20" s="7">
        <v>0</v>
      </c>
      <c r="K20" s="5">
        <v>0</v>
      </c>
      <c r="L20" s="5">
        <f>+D20*0.1</f>
        <v>42500</v>
      </c>
      <c r="M20" s="98">
        <v>0</v>
      </c>
      <c r="N20" s="4">
        <f>+D20*0.2</f>
        <v>85000</v>
      </c>
      <c r="O20" s="5">
        <v>0</v>
      </c>
      <c r="P20" s="5">
        <f>+D20*0.2</f>
        <v>85000</v>
      </c>
      <c r="Q20" s="6">
        <v>0</v>
      </c>
      <c r="R20" s="7">
        <f>+D20*0.2</f>
        <v>85000</v>
      </c>
      <c r="S20" s="5">
        <v>0</v>
      </c>
      <c r="T20" s="5">
        <f>+D20*0.2</f>
        <v>85000</v>
      </c>
      <c r="U20" s="98">
        <v>0</v>
      </c>
      <c r="V20" s="4">
        <f>+D20*0.1</f>
        <v>42500</v>
      </c>
      <c r="W20" s="5">
        <v>0</v>
      </c>
      <c r="X20" s="5">
        <v>0</v>
      </c>
      <c r="Y20" s="6">
        <v>0</v>
      </c>
      <c r="Z20" s="7">
        <f t="shared" si="1"/>
        <v>425000</v>
      </c>
      <c r="AA20" s="6">
        <f t="shared" si="2"/>
        <v>0</v>
      </c>
    </row>
    <row r="21" spans="2:28" ht="12.75" x14ac:dyDescent="0.2">
      <c r="B21" s="20" t="s">
        <v>99</v>
      </c>
      <c r="C21" s="30">
        <v>1600000</v>
      </c>
      <c r="D21" s="30">
        <f>+C21</f>
        <v>1600000</v>
      </c>
      <c r="E21" s="90">
        <v>0</v>
      </c>
      <c r="F21" s="4">
        <v>0</v>
      </c>
      <c r="G21" s="5">
        <v>0</v>
      </c>
      <c r="H21" s="5">
        <v>0</v>
      </c>
      <c r="I21" s="6">
        <v>0</v>
      </c>
      <c r="J21" s="7">
        <v>0</v>
      </c>
      <c r="K21" s="5">
        <v>0</v>
      </c>
      <c r="L21" s="5">
        <f>+D21*0.1</f>
        <v>160000</v>
      </c>
      <c r="M21" s="98">
        <v>0</v>
      </c>
      <c r="N21" s="4">
        <f>+D21*0.2</f>
        <v>320000</v>
      </c>
      <c r="O21" s="5">
        <v>0</v>
      </c>
      <c r="P21" s="5">
        <f>+D21*0.2</f>
        <v>320000</v>
      </c>
      <c r="Q21" s="6">
        <v>0</v>
      </c>
      <c r="R21" s="7">
        <f>+D21*0.2</f>
        <v>320000</v>
      </c>
      <c r="S21" s="5">
        <v>0</v>
      </c>
      <c r="T21" s="5">
        <f>+D21*0.2</f>
        <v>320000</v>
      </c>
      <c r="U21" s="98">
        <v>0</v>
      </c>
      <c r="V21" s="4">
        <f>+D21*0.1</f>
        <v>160000</v>
      </c>
      <c r="W21" s="5">
        <v>0</v>
      </c>
      <c r="X21" s="5">
        <v>0</v>
      </c>
      <c r="Y21" s="6">
        <v>0</v>
      </c>
      <c r="Z21" s="7">
        <f t="shared" si="1"/>
        <v>1600000</v>
      </c>
      <c r="AA21" s="6">
        <f t="shared" si="2"/>
        <v>0</v>
      </c>
    </row>
    <row r="22" spans="2:28" x14ac:dyDescent="0.3">
      <c r="B22" s="19" t="s">
        <v>100</v>
      </c>
      <c r="C22" s="29">
        <f>+C23</f>
        <v>100000</v>
      </c>
      <c r="D22" s="29">
        <f>+D23</f>
        <v>100000</v>
      </c>
      <c r="E22" s="89">
        <f>+E23</f>
        <v>0</v>
      </c>
      <c r="F22" s="26">
        <f t="shared" ref="F22:Y22" si="7">+F23</f>
        <v>0</v>
      </c>
      <c r="G22" s="22">
        <f t="shared" si="7"/>
        <v>0</v>
      </c>
      <c r="H22" s="22">
        <f t="shared" si="7"/>
        <v>25000</v>
      </c>
      <c r="I22" s="2">
        <f t="shared" si="7"/>
        <v>0</v>
      </c>
      <c r="J22" s="27">
        <f t="shared" si="7"/>
        <v>25000</v>
      </c>
      <c r="K22" s="22">
        <f t="shared" si="7"/>
        <v>0</v>
      </c>
      <c r="L22" s="22">
        <f t="shared" si="7"/>
        <v>25000</v>
      </c>
      <c r="M22" s="100">
        <f t="shared" si="7"/>
        <v>0</v>
      </c>
      <c r="N22" s="26">
        <f t="shared" si="7"/>
        <v>25000</v>
      </c>
      <c r="O22" s="22">
        <f t="shared" si="7"/>
        <v>0</v>
      </c>
      <c r="P22" s="22">
        <f t="shared" si="7"/>
        <v>0</v>
      </c>
      <c r="Q22" s="2">
        <f t="shared" si="7"/>
        <v>0</v>
      </c>
      <c r="R22" s="27">
        <f t="shared" si="7"/>
        <v>0</v>
      </c>
      <c r="S22" s="22">
        <f t="shared" si="7"/>
        <v>0</v>
      </c>
      <c r="T22" s="22">
        <f t="shared" si="7"/>
        <v>0</v>
      </c>
      <c r="U22" s="100">
        <f t="shared" si="7"/>
        <v>0</v>
      </c>
      <c r="V22" s="26">
        <f t="shared" si="7"/>
        <v>0</v>
      </c>
      <c r="W22" s="22">
        <f t="shared" si="7"/>
        <v>0</v>
      </c>
      <c r="X22" s="22">
        <f t="shared" si="7"/>
        <v>0</v>
      </c>
      <c r="Y22" s="2">
        <f t="shared" si="7"/>
        <v>0</v>
      </c>
      <c r="Z22" s="120">
        <f t="shared" si="1"/>
        <v>100000</v>
      </c>
      <c r="AA22" s="109">
        <f t="shared" si="2"/>
        <v>0</v>
      </c>
    </row>
    <row r="23" spans="2:28" ht="14.4" thickBot="1" x14ac:dyDescent="0.35">
      <c r="B23" s="84" t="s">
        <v>90</v>
      </c>
      <c r="C23" s="85">
        <v>100000</v>
      </c>
      <c r="D23" s="85">
        <f>+C23</f>
        <v>100000</v>
      </c>
      <c r="E23" s="91">
        <v>0</v>
      </c>
      <c r="F23" s="82">
        <v>0</v>
      </c>
      <c r="G23" s="87">
        <v>0</v>
      </c>
      <c r="H23" s="87">
        <f>+D23/4</f>
        <v>25000</v>
      </c>
      <c r="I23" s="83">
        <v>0</v>
      </c>
      <c r="J23" s="86">
        <f>+D23/4</f>
        <v>25000</v>
      </c>
      <c r="K23" s="87">
        <v>0</v>
      </c>
      <c r="L23" s="87">
        <f>+D23/4</f>
        <v>25000</v>
      </c>
      <c r="M23" s="101">
        <v>0</v>
      </c>
      <c r="N23" s="82">
        <f>+D23/4</f>
        <v>25000</v>
      </c>
      <c r="O23" s="87">
        <v>0</v>
      </c>
      <c r="P23" s="87">
        <v>0</v>
      </c>
      <c r="Q23" s="83">
        <v>0</v>
      </c>
      <c r="R23" s="86">
        <v>0</v>
      </c>
      <c r="S23" s="87">
        <v>0</v>
      </c>
      <c r="T23" s="87">
        <v>0</v>
      </c>
      <c r="U23" s="101">
        <v>0</v>
      </c>
      <c r="V23" s="82">
        <v>0</v>
      </c>
      <c r="W23" s="87">
        <v>0</v>
      </c>
      <c r="X23" s="87">
        <v>0</v>
      </c>
      <c r="Y23" s="83">
        <v>0</v>
      </c>
      <c r="Z23" s="86">
        <f t="shared" si="1"/>
        <v>100000</v>
      </c>
      <c r="AA23" s="83">
        <f t="shared" si="2"/>
        <v>0</v>
      </c>
    </row>
    <row r="24" spans="2:28" s="15" customFormat="1" ht="3" customHeight="1" thickBot="1" x14ac:dyDescent="0.25">
      <c r="B24" s="117"/>
      <c r="C24" s="10"/>
      <c r="D24" s="31"/>
      <c r="E24" s="31"/>
      <c r="F24" s="115"/>
      <c r="G24" s="3"/>
      <c r="H24" s="3"/>
      <c r="I24" s="116"/>
      <c r="J24" s="113"/>
      <c r="K24" s="3"/>
      <c r="L24" s="3"/>
      <c r="M24" s="119"/>
      <c r="N24" s="115"/>
      <c r="O24" s="3"/>
      <c r="P24" s="3"/>
      <c r="Q24" s="116"/>
      <c r="R24" s="113"/>
      <c r="S24" s="3"/>
      <c r="T24" s="3"/>
      <c r="U24" s="119"/>
      <c r="V24" s="115"/>
      <c r="W24" s="3"/>
      <c r="X24" s="3"/>
      <c r="Y24" s="116"/>
      <c r="Z24" s="113"/>
      <c r="AA24" s="116"/>
    </row>
    <row r="25" spans="2:28" s="9" customFormat="1" x14ac:dyDescent="0.3">
      <c r="B25" s="16" t="s">
        <v>38</v>
      </c>
      <c r="C25" s="11">
        <f>+C26+C27+C28+C29+C33+C34+C35</f>
        <v>7153000</v>
      </c>
      <c r="D25" s="11">
        <f>+D26+D27+D28+D29+D33+D34+D35</f>
        <v>7153000</v>
      </c>
      <c r="E25" s="11">
        <f>SUM(E26:E35)</f>
        <v>0</v>
      </c>
      <c r="F25" s="255">
        <f t="shared" ref="F25:I25" si="8">+F26+F27+F28+F29+F33+F34+F35</f>
        <v>0</v>
      </c>
      <c r="G25" s="255">
        <f t="shared" si="8"/>
        <v>0</v>
      </c>
      <c r="H25" s="255">
        <f t="shared" si="8"/>
        <v>0</v>
      </c>
      <c r="I25" s="255">
        <f t="shared" si="8"/>
        <v>0</v>
      </c>
      <c r="J25" s="255">
        <f t="shared" ref="J25" si="9">+J26+J27+J28+J29+J33+J34+J35</f>
        <v>417519</v>
      </c>
      <c r="K25" s="255">
        <f t="shared" ref="K25" si="10">+K26+K27+K28+K29+K33+K34+K35</f>
        <v>0</v>
      </c>
      <c r="L25" s="255">
        <f t="shared" ref="L25" si="11">+L26+L27+L28+L29+L33+L34+L35</f>
        <v>1482308.435897436</v>
      </c>
      <c r="M25" s="255">
        <f t="shared" ref="M25" si="12">+M26+M27+M28+M29+M33+M34+M35</f>
        <v>0</v>
      </c>
      <c r="N25" s="255">
        <f t="shared" ref="N25" si="13">+N26+N27+N28+N29+N33+N34+N35</f>
        <v>900877.66666666663</v>
      </c>
      <c r="O25" s="255">
        <f t="shared" ref="O25" si="14">+O26+O27+O28+O29+O33+O34+O35</f>
        <v>0</v>
      </c>
      <c r="P25" s="255">
        <f t="shared" ref="P25" si="15">+P26+P27+P28+P29+P33+P34+P35</f>
        <v>1102603.615384616</v>
      </c>
      <c r="Q25" s="255">
        <f t="shared" ref="Q25" si="16">+Q26+Q27+Q28+Q29+Q33+Q34+Q35</f>
        <v>0</v>
      </c>
      <c r="R25" s="255">
        <f t="shared" ref="R25" si="17">+R26+R27+R28+R29+R33+R34+R35</f>
        <v>455663</v>
      </c>
      <c r="S25" s="255">
        <f t="shared" ref="S25" si="18">+S26+S27+S28+S29+S33+S34+S35</f>
        <v>0</v>
      </c>
      <c r="T25" s="255">
        <f t="shared" ref="T25" si="19">+T26+T27+T28+T29+T33+T34+T35</f>
        <v>819880.33333333326</v>
      </c>
      <c r="U25" s="255">
        <f t="shared" ref="U25" si="20">+U26+U27+U28+U29+U33+U34+U35</f>
        <v>0</v>
      </c>
      <c r="V25" s="255">
        <f t="shared" ref="V25" si="21">+V26+V27+V28+V29+V33+V34+V35</f>
        <v>1526364.9487179487</v>
      </c>
      <c r="W25" s="255">
        <f t="shared" ref="W25" si="22">+W26+W27+W28+W29+W33+W34+W35</f>
        <v>0</v>
      </c>
      <c r="X25" s="255">
        <f t="shared" ref="X25" si="23">+X26+X27+X28+X29+X33+X34+X35</f>
        <v>447783</v>
      </c>
      <c r="Y25" s="255">
        <f t="shared" ref="Y25" si="24">+Y26+Y27+Y28+Y29+Y33+Y34+Y35</f>
        <v>0</v>
      </c>
      <c r="Z25" s="11">
        <f>+Z26+Z27+Z28+Z29+Z33+Z34+Z35</f>
        <v>7153000.0000000009</v>
      </c>
      <c r="AA25" s="75">
        <f t="shared" ref="Z25:AA32" si="25">+Y25+W25+U25+S25+Q25+O25+M25+K25+I84+I25+G25</f>
        <v>0</v>
      </c>
    </row>
    <row r="26" spans="2:28" ht="12.75" x14ac:dyDescent="0.2">
      <c r="B26" s="20" t="s">
        <v>104</v>
      </c>
      <c r="C26" s="30">
        <f>+D26</f>
        <v>2897000</v>
      </c>
      <c r="D26" s="30">
        <f>2677000+220000</f>
        <v>2897000</v>
      </c>
      <c r="E26" s="90">
        <v>0</v>
      </c>
      <c r="F26" s="4">
        <v>0</v>
      </c>
      <c r="G26" s="7">
        <v>0</v>
      </c>
      <c r="H26" s="5">
        <v>0</v>
      </c>
      <c r="I26" s="96">
        <v>0</v>
      </c>
      <c r="J26" s="7">
        <f>+D26*0.15/3</f>
        <v>144850</v>
      </c>
      <c r="K26" s="7">
        <v>0</v>
      </c>
      <c r="L26" s="5">
        <f>+D26*0.35/3</f>
        <v>337983.33333333331</v>
      </c>
      <c r="M26" s="99">
        <v>0</v>
      </c>
      <c r="N26" s="4">
        <f>+D26*0.35/3</f>
        <v>337983.33333333331</v>
      </c>
      <c r="O26" s="7">
        <v>0</v>
      </c>
      <c r="P26" s="5">
        <f>+D26*0.15/3</f>
        <v>144850</v>
      </c>
      <c r="Q26" s="96">
        <v>0</v>
      </c>
      <c r="R26" s="7">
        <f>+J26*2</f>
        <v>289700</v>
      </c>
      <c r="S26" s="7">
        <v>0</v>
      </c>
      <c r="T26" s="5">
        <f>+L26*2</f>
        <v>675966.66666666663</v>
      </c>
      <c r="U26" s="99">
        <v>0</v>
      </c>
      <c r="V26" s="4">
        <f>+T26</f>
        <v>675966.66666666663</v>
      </c>
      <c r="W26" s="7">
        <v>0</v>
      </c>
      <c r="X26" s="5">
        <f>+R26</f>
        <v>289700</v>
      </c>
      <c r="Y26" s="96">
        <v>0</v>
      </c>
      <c r="Z26" s="7">
        <f t="shared" si="25"/>
        <v>2897000</v>
      </c>
      <c r="AA26" s="6">
        <f t="shared" si="25"/>
        <v>0</v>
      </c>
    </row>
    <row r="27" spans="2:28" x14ac:dyDescent="0.3">
      <c r="B27" s="20" t="s">
        <v>63</v>
      </c>
      <c r="C27" s="30">
        <v>108000</v>
      </c>
      <c r="D27" s="30">
        <f t="shared" ref="D27:D35" si="26">+C27</f>
        <v>108000</v>
      </c>
      <c r="E27" s="90">
        <v>0</v>
      </c>
      <c r="F27" s="4">
        <v>0</v>
      </c>
      <c r="G27" s="7">
        <v>0</v>
      </c>
      <c r="H27" s="5">
        <v>0</v>
      </c>
      <c r="I27" s="96">
        <v>0</v>
      </c>
      <c r="J27" s="7">
        <f>+J26*0.04</f>
        <v>5794</v>
      </c>
      <c r="K27" s="7">
        <v>0</v>
      </c>
      <c r="L27" s="5">
        <f>+L26*0.04</f>
        <v>13519.333333333332</v>
      </c>
      <c r="M27" s="99">
        <v>0</v>
      </c>
      <c r="N27" s="4">
        <f>+N26*0.04</f>
        <v>13519.333333333332</v>
      </c>
      <c r="O27" s="7">
        <v>0</v>
      </c>
      <c r="P27" s="5">
        <f>+P26*0.04</f>
        <v>5794</v>
      </c>
      <c r="Q27" s="96">
        <v>0</v>
      </c>
      <c r="R27" s="7">
        <f>+R26*0.04</f>
        <v>11588</v>
      </c>
      <c r="S27" s="7">
        <v>0</v>
      </c>
      <c r="T27" s="5">
        <f>+T26*0.04</f>
        <v>27038.666666666664</v>
      </c>
      <c r="U27" s="99">
        <v>0</v>
      </c>
      <c r="V27" s="4">
        <f>+V26*0.04</f>
        <v>27038.666666666664</v>
      </c>
      <c r="W27" s="7">
        <v>0</v>
      </c>
      <c r="X27" s="5">
        <v>3708</v>
      </c>
      <c r="Y27" s="96">
        <v>0</v>
      </c>
      <c r="Z27" s="7">
        <f t="shared" si="25"/>
        <v>107999.99999999999</v>
      </c>
      <c r="AA27" s="6">
        <f t="shared" si="25"/>
        <v>0</v>
      </c>
      <c r="AB27" s="33"/>
    </row>
    <row r="28" spans="2:28" x14ac:dyDescent="0.3">
      <c r="B28" s="20" t="s">
        <v>126</v>
      </c>
      <c r="C28" s="30">
        <v>215000</v>
      </c>
      <c r="D28" s="30">
        <f t="shared" si="26"/>
        <v>215000</v>
      </c>
      <c r="E28" s="90">
        <v>0</v>
      </c>
      <c r="F28" s="4">
        <v>0</v>
      </c>
      <c r="G28" s="7">
        <v>0</v>
      </c>
      <c r="H28" s="5">
        <v>0</v>
      </c>
      <c r="I28" s="96">
        <v>0</v>
      </c>
      <c r="J28" s="7">
        <f>+D28/8</f>
        <v>26875</v>
      </c>
      <c r="K28" s="7">
        <v>0</v>
      </c>
      <c r="L28" s="5">
        <f>+J28</f>
        <v>26875</v>
      </c>
      <c r="M28" s="99">
        <v>0</v>
      </c>
      <c r="N28" s="4">
        <f t="shared" ref="N28" si="27">+L28</f>
        <v>26875</v>
      </c>
      <c r="O28" s="7">
        <v>0</v>
      </c>
      <c r="P28" s="5">
        <f t="shared" ref="P28" si="28">+N28</f>
        <v>26875</v>
      </c>
      <c r="Q28" s="96">
        <v>0</v>
      </c>
      <c r="R28" s="7">
        <f t="shared" ref="R28" si="29">+P28</f>
        <v>26875</v>
      </c>
      <c r="S28" s="7">
        <v>0</v>
      </c>
      <c r="T28" s="5">
        <f t="shared" ref="T28" si="30">+R28</f>
        <v>26875</v>
      </c>
      <c r="U28" s="99">
        <v>0</v>
      </c>
      <c r="V28" s="4">
        <f t="shared" ref="V28" si="31">+T28</f>
        <v>26875</v>
      </c>
      <c r="W28" s="7">
        <v>0</v>
      </c>
      <c r="X28" s="5">
        <f t="shared" ref="X28" si="32">+V28</f>
        <v>26875</v>
      </c>
      <c r="Y28" s="96">
        <v>0</v>
      </c>
      <c r="Z28" s="7">
        <f t="shared" si="25"/>
        <v>215000</v>
      </c>
      <c r="AA28" s="6">
        <f t="shared" si="25"/>
        <v>0</v>
      </c>
    </row>
    <row r="29" spans="2:28" ht="12.75" x14ac:dyDescent="0.2">
      <c r="B29" s="20" t="s">
        <v>39</v>
      </c>
      <c r="C29" s="30">
        <f>+C30+C31+C32</f>
        <v>2108000</v>
      </c>
      <c r="D29" s="30">
        <f>+D30+D31+D32</f>
        <v>2108000</v>
      </c>
      <c r="E29" s="90">
        <f>+E30+E31+E32</f>
        <v>0</v>
      </c>
      <c r="F29" s="4">
        <f t="shared" ref="F29:Y29" si="33">+F30+F31+F32</f>
        <v>0</v>
      </c>
      <c r="G29" s="7">
        <f t="shared" si="33"/>
        <v>0</v>
      </c>
      <c r="H29" s="5">
        <f t="shared" si="33"/>
        <v>0</v>
      </c>
      <c r="I29" s="96">
        <f t="shared" si="33"/>
        <v>0</v>
      </c>
      <c r="J29" s="7">
        <f t="shared" si="33"/>
        <v>0</v>
      </c>
      <c r="K29" s="7">
        <f t="shared" si="33"/>
        <v>0</v>
      </c>
      <c r="L29" s="5">
        <f t="shared" si="33"/>
        <v>616430.76923076948</v>
      </c>
      <c r="M29" s="99">
        <f t="shared" si="33"/>
        <v>0</v>
      </c>
      <c r="N29" s="4">
        <f t="shared" si="33"/>
        <v>0</v>
      </c>
      <c r="O29" s="7">
        <f t="shared" si="33"/>
        <v>0</v>
      </c>
      <c r="P29" s="5">
        <f t="shared" si="33"/>
        <v>822584.61538461596</v>
      </c>
      <c r="Q29" s="96">
        <f t="shared" si="33"/>
        <v>0</v>
      </c>
      <c r="R29" s="7">
        <f t="shared" si="33"/>
        <v>0</v>
      </c>
      <c r="S29" s="7">
        <f t="shared" si="33"/>
        <v>0</v>
      </c>
      <c r="T29" s="7">
        <f t="shared" si="33"/>
        <v>0</v>
      </c>
      <c r="U29" s="99">
        <f t="shared" si="33"/>
        <v>0</v>
      </c>
      <c r="V29" s="4">
        <f t="shared" si="33"/>
        <v>668984.61538461549</v>
      </c>
      <c r="W29" s="7">
        <f t="shared" si="33"/>
        <v>0</v>
      </c>
      <c r="X29" s="5">
        <f t="shared" si="33"/>
        <v>0</v>
      </c>
      <c r="Y29" s="96">
        <f t="shared" si="33"/>
        <v>0</v>
      </c>
      <c r="Z29" s="7">
        <f t="shared" si="25"/>
        <v>2108000.0000000009</v>
      </c>
      <c r="AA29" s="6">
        <f t="shared" si="25"/>
        <v>0</v>
      </c>
    </row>
    <row r="30" spans="2:28" s="67" customFormat="1" ht="10.199999999999999" x14ac:dyDescent="0.2">
      <c r="B30" s="62" t="s">
        <v>101</v>
      </c>
      <c r="C30" s="63">
        <v>1340000</v>
      </c>
      <c r="D30" s="63">
        <f t="shared" si="26"/>
        <v>1340000</v>
      </c>
      <c r="E30" s="103">
        <v>0</v>
      </c>
      <c r="F30" s="64">
        <v>0</v>
      </c>
      <c r="G30" s="65">
        <v>0</v>
      </c>
      <c r="H30" s="66">
        <v>0</v>
      </c>
      <c r="I30" s="105">
        <v>0</v>
      </c>
      <c r="J30" s="65">
        <v>0</v>
      </c>
      <c r="K30" s="65">
        <v>0</v>
      </c>
      <c r="L30" s="66">
        <f>D30*0.230769230769231</f>
        <v>309230.76923076954</v>
      </c>
      <c r="M30" s="107">
        <v>0</v>
      </c>
      <c r="N30" s="64">
        <v>0</v>
      </c>
      <c r="O30" s="65">
        <v>0</v>
      </c>
      <c r="P30" s="66">
        <f>D30*0.384615384615385</f>
        <v>515384.61538461596</v>
      </c>
      <c r="Q30" s="105">
        <v>0</v>
      </c>
      <c r="R30" s="65">
        <v>0</v>
      </c>
      <c r="S30" s="65">
        <v>0</v>
      </c>
      <c r="T30" s="65">
        <v>0</v>
      </c>
      <c r="U30" s="107">
        <v>0</v>
      </c>
      <c r="V30" s="64">
        <f>+D30*0.384615384615385</f>
        <v>515384.61538461543</v>
      </c>
      <c r="W30" s="65">
        <v>0</v>
      </c>
      <c r="X30" s="66">
        <v>0</v>
      </c>
      <c r="Y30" s="105">
        <v>0</v>
      </c>
      <c r="Z30" s="65">
        <f t="shared" si="25"/>
        <v>1340000.0000000009</v>
      </c>
      <c r="AA30" s="76">
        <f t="shared" si="25"/>
        <v>0</v>
      </c>
    </row>
    <row r="31" spans="2:28" s="67" customFormat="1" ht="10.199999999999999" x14ac:dyDescent="0.2">
      <c r="B31" s="62" t="s">
        <v>102</v>
      </c>
      <c r="C31" s="63">
        <v>560000</v>
      </c>
      <c r="D31" s="63">
        <f t="shared" si="26"/>
        <v>560000</v>
      </c>
      <c r="E31" s="103">
        <v>0</v>
      </c>
      <c r="F31" s="64">
        <v>0</v>
      </c>
      <c r="G31" s="65">
        <v>0</v>
      </c>
      <c r="H31" s="66">
        <v>0</v>
      </c>
      <c r="I31" s="105">
        <v>0</v>
      </c>
      <c r="J31" s="65">
        <v>0</v>
      </c>
      <c r="K31" s="65">
        <v>0</v>
      </c>
      <c r="L31" s="66">
        <f>D31*2/5</f>
        <v>224000</v>
      </c>
      <c r="M31" s="107">
        <v>0</v>
      </c>
      <c r="N31" s="64">
        <v>0</v>
      </c>
      <c r="O31" s="65">
        <v>0</v>
      </c>
      <c r="P31" s="66">
        <f>D31*2/5</f>
        <v>224000</v>
      </c>
      <c r="Q31" s="105">
        <v>0</v>
      </c>
      <c r="R31" s="65">
        <v>0</v>
      </c>
      <c r="S31" s="65">
        <v>0</v>
      </c>
      <c r="T31" s="65">
        <v>0</v>
      </c>
      <c r="U31" s="107">
        <v>0</v>
      </c>
      <c r="V31" s="64">
        <f>+D31/5</f>
        <v>112000</v>
      </c>
      <c r="W31" s="65">
        <v>0</v>
      </c>
      <c r="X31" s="66">
        <v>0</v>
      </c>
      <c r="Y31" s="105">
        <v>0</v>
      </c>
      <c r="Z31" s="65">
        <f t="shared" si="25"/>
        <v>560000</v>
      </c>
      <c r="AA31" s="76">
        <f t="shared" si="25"/>
        <v>0</v>
      </c>
    </row>
    <row r="32" spans="2:28" s="67" customFormat="1" ht="10.199999999999999" x14ac:dyDescent="0.2">
      <c r="B32" s="62" t="s">
        <v>103</v>
      </c>
      <c r="C32" s="63">
        <v>208000</v>
      </c>
      <c r="D32" s="63">
        <f t="shared" si="26"/>
        <v>208000</v>
      </c>
      <c r="E32" s="103">
        <v>0</v>
      </c>
      <c r="F32" s="64">
        <v>0</v>
      </c>
      <c r="G32" s="65">
        <v>0</v>
      </c>
      <c r="H32" s="66">
        <v>0</v>
      </c>
      <c r="I32" s="105">
        <v>0</v>
      </c>
      <c r="J32" s="65">
        <v>0</v>
      </c>
      <c r="K32" s="65">
        <v>0</v>
      </c>
      <c r="L32" s="66">
        <f>D32*2/5</f>
        <v>83200</v>
      </c>
      <c r="M32" s="107">
        <v>0</v>
      </c>
      <c r="N32" s="64">
        <v>0</v>
      </c>
      <c r="O32" s="65">
        <v>0</v>
      </c>
      <c r="P32" s="66">
        <f>D32*2/5</f>
        <v>83200</v>
      </c>
      <c r="Q32" s="105">
        <v>0</v>
      </c>
      <c r="R32" s="65">
        <v>0</v>
      </c>
      <c r="S32" s="65">
        <v>0</v>
      </c>
      <c r="T32" s="65">
        <v>0</v>
      </c>
      <c r="U32" s="107">
        <v>0</v>
      </c>
      <c r="V32" s="64">
        <f>+D32/5</f>
        <v>41600</v>
      </c>
      <c r="W32" s="65">
        <v>0</v>
      </c>
      <c r="X32" s="66">
        <v>0</v>
      </c>
      <c r="Y32" s="105">
        <v>0</v>
      </c>
      <c r="Z32" s="65">
        <f t="shared" si="25"/>
        <v>208000</v>
      </c>
      <c r="AA32" s="76">
        <f t="shared" si="25"/>
        <v>0</v>
      </c>
    </row>
    <row r="33" spans="2:28" x14ac:dyDescent="0.3">
      <c r="B33" s="20" t="s">
        <v>32</v>
      </c>
      <c r="C33" s="30">
        <v>625000</v>
      </c>
      <c r="D33" s="30">
        <f t="shared" si="26"/>
        <v>625000</v>
      </c>
      <c r="E33" s="90">
        <v>0</v>
      </c>
      <c r="F33" s="4">
        <v>0</v>
      </c>
      <c r="G33" s="7">
        <v>0</v>
      </c>
      <c r="H33" s="5">
        <v>0</v>
      </c>
      <c r="I33" s="96">
        <v>0</v>
      </c>
      <c r="J33" s="7">
        <v>30000</v>
      </c>
      <c r="K33" s="7">
        <v>0</v>
      </c>
      <c r="L33" s="5">
        <v>30000</v>
      </c>
      <c r="M33" s="99">
        <v>0</v>
      </c>
      <c r="N33" s="4">
        <v>65000</v>
      </c>
      <c r="O33" s="7">
        <v>0</v>
      </c>
      <c r="P33" s="5">
        <v>65000</v>
      </c>
      <c r="Q33" s="96">
        <v>0</v>
      </c>
      <c r="R33" s="7">
        <v>90000</v>
      </c>
      <c r="S33" s="7">
        <v>0</v>
      </c>
      <c r="T33" s="5">
        <v>90000</v>
      </c>
      <c r="U33" s="99">
        <v>0</v>
      </c>
      <c r="V33" s="4">
        <f>255000/2</f>
        <v>127500</v>
      </c>
      <c r="W33" s="7">
        <v>0</v>
      </c>
      <c r="X33" s="5">
        <f>+V33</f>
        <v>127500</v>
      </c>
      <c r="Y33" s="96"/>
      <c r="Z33" s="7">
        <f t="shared" ref="Z33:Z35" si="34">+X33+V33+T33+R33+P33+N33+L33+J33+H93+H33+F33</f>
        <v>625000</v>
      </c>
      <c r="AA33" s="6">
        <f t="shared" ref="AA33:AA35" si="35">+Y33+W33+U33+S33+Q33+O33+M33+K33+I93+I33+G33</f>
        <v>0</v>
      </c>
    </row>
    <row r="34" spans="2:28" x14ac:dyDescent="0.3">
      <c r="B34" s="20" t="s">
        <v>119</v>
      </c>
      <c r="C34" s="30">
        <v>1050000</v>
      </c>
      <c r="D34" s="30">
        <f t="shared" si="26"/>
        <v>1050000</v>
      </c>
      <c r="E34" s="90">
        <v>0</v>
      </c>
      <c r="F34" s="4">
        <v>0</v>
      </c>
      <c r="G34" s="7">
        <v>0</v>
      </c>
      <c r="H34" s="5">
        <v>0</v>
      </c>
      <c r="I34" s="96">
        <v>0</v>
      </c>
      <c r="J34" s="7">
        <f>+D34*0.2</f>
        <v>210000</v>
      </c>
      <c r="K34" s="7">
        <v>0</v>
      </c>
      <c r="L34" s="5">
        <f>+D34*0.4</f>
        <v>420000</v>
      </c>
      <c r="M34" s="99">
        <v>0</v>
      </c>
      <c r="N34" s="4">
        <f>+L34</f>
        <v>420000</v>
      </c>
      <c r="O34" s="7">
        <v>0</v>
      </c>
      <c r="P34" s="5">
        <v>0</v>
      </c>
      <c r="Q34" s="96">
        <v>0</v>
      </c>
      <c r="R34" s="7">
        <v>0</v>
      </c>
      <c r="S34" s="7">
        <v>0</v>
      </c>
      <c r="T34" s="5">
        <v>0</v>
      </c>
      <c r="U34" s="99">
        <v>0</v>
      </c>
      <c r="V34" s="4">
        <v>0</v>
      </c>
      <c r="W34" s="7">
        <v>0</v>
      </c>
      <c r="X34" s="5">
        <v>0</v>
      </c>
      <c r="Y34" s="96">
        <v>0</v>
      </c>
      <c r="Z34" s="7">
        <f t="shared" si="34"/>
        <v>1050000</v>
      </c>
      <c r="AA34" s="6">
        <f t="shared" si="35"/>
        <v>0</v>
      </c>
    </row>
    <row r="35" spans="2:28" s="37" customFormat="1" ht="14.4" thickBot="1" x14ac:dyDescent="0.35">
      <c r="B35" s="77" t="s">
        <v>91</v>
      </c>
      <c r="C35" s="78">
        <v>150000</v>
      </c>
      <c r="D35" s="78">
        <f t="shared" si="26"/>
        <v>150000</v>
      </c>
      <c r="E35" s="104">
        <v>0</v>
      </c>
      <c r="F35" s="4">
        <v>0</v>
      </c>
      <c r="G35" s="7">
        <v>0</v>
      </c>
      <c r="H35" s="5">
        <v>0</v>
      </c>
      <c r="I35" s="96">
        <v>0</v>
      </c>
      <c r="J35" s="79">
        <v>0</v>
      </c>
      <c r="K35" s="80">
        <v>0</v>
      </c>
      <c r="L35" s="80">
        <f>+D35/4</f>
        <v>37500</v>
      </c>
      <c r="M35" s="108">
        <v>0</v>
      </c>
      <c r="N35" s="81">
        <f>+D35/4</f>
        <v>37500</v>
      </c>
      <c r="O35" s="80">
        <v>0</v>
      </c>
      <c r="P35" s="80">
        <f>+D35/4</f>
        <v>37500</v>
      </c>
      <c r="Q35" s="106">
        <v>0</v>
      </c>
      <c r="R35" s="79">
        <f>+P35</f>
        <v>37500</v>
      </c>
      <c r="S35" s="80">
        <v>0</v>
      </c>
      <c r="T35" s="80">
        <v>0</v>
      </c>
      <c r="U35" s="108">
        <v>0</v>
      </c>
      <c r="V35" s="81">
        <v>0</v>
      </c>
      <c r="W35" s="80">
        <v>0</v>
      </c>
      <c r="X35" s="80">
        <v>0</v>
      </c>
      <c r="Y35" s="106">
        <v>0</v>
      </c>
      <c r="Z35" s="86">
        <f t="shared" si="34"/>
        <v>150000</v>
      </c>
      <c r="AA35" s="83">
        <f t="shared" si="35"/>
        <v>0</v>
      </c>
    </row>
    <row r="36" spans="2:28" s="15" customFormat="1" ht="3" customHeight="1" thickBot="1" x14ac:dyDescent="0.35">
      <c r="B36" s="117"/>
      <c r="C36" s="10"/>
      <c r="D36" s="31"/>
      <c r="E36" s="31"/>
      <c r="F36" s="117"/>
      <c r="G36" s="10"/>
      <c r="H36" s="10"/>
      <c r="I36" s="118"/>
      <c r="J36" s="10"/>
      <c r="K36" s="10"/>
      <c r="L36" s="10"/>
      <c r="M36" s="10"/>
      <c r="N36" s="117"/>
      <c r="O36" s="10"/>
      <c r="P36" s="10"/>
      <c r="Q36" s="118"/>
      <c r="R36" s="10"/>
      <c r="S36" s="10"/>
      <c r="T36" s="10"/>
      <c r="U36" s="10"/>
      <c r="V36" s="117"/>
      <c r="W36" s="10"/>
      <c r="X36" s="10"/>
      <c r="Y36" s="118"/>
      <c r="Z36" s="10"/>
      <c r="AA36" s="118"/>
    </row>
    <row r="37" spans="2:28" s="9" customFormat="1" x14ac:dyDescent="0.3">
      <c r="B37" s="16" t="s">
        <v>40</v>
      </c>
      <c r="C37" s="12">
        <f>SUM(C38:C40)</f>
        <v>4540000</v>
      </c>
      <c r="D37" s="12">
        <f>SUM(D38:D40)</f>
        <v>300000</v>
      </c>
      <c r="E37" s="11">
        <f>SUM(E38:E40)</f>
        <v>4240000</v>
      </c>
      <c r="F37" s="14">
        <f t="shared" ref="F37:H37" si="36">SUM(F38:F40)</f>
        <v>0</v>
      </c>
      <c r="G37" s="12">
        <f t="shared" si="36"/>
        <v>0</v>
      </c>
      <c r="H37" s="12">
        <f t="shared" si="36"/>
        <v>300000</v>
      </c>
      <c r="I37" s="13">
        <f>SUM(I38:I40)</f>
        <v>94000</v>
      </c>
      <c r="J37" s="114">
        <f t="shared" ref="J37" si="37">SUM(J38:J40)</f>
        <v>0</v>
      </c>
      <c r="K37" s="12">
        <f t="shared" ref="K37" si="38">SUM(K38:K40)</f>
        <v>801000</v>
      </c>
      <c r="L37" s="12">
        <f t="shared" ref="L37" si="39">SUM(L38:L40)</f>
        <v>0</v>
      </c>
      <c r="M37" s="11">
        <f t="shared" ref="M37" si="40">SUM(M38:M40)</f>
        <v>852662</v>
      </c>
      <c r="N37" s="14">
        <f t="shared" ref="N37" si="41">SUM(N38:N40)</f>
        <v>0</v>
      </c>
      <c r="O37" s="12">
        <f t="shared" ref="O37" si="42">SUM(O38:O40)</f>
        <v>1190000</v>
      </c>
      <c r="P37" s="12">
        <f t="shared" ref="P37" si="43">SUM(P38:P40)</f>
        <v>0</v>
      </c>
      <c r="Q37" s="13">
        <f t="shared" ref="Q37" si="44">SUM(Q38:Q40)</f>
        <v>1138338</v>
      </c>
      <c r="R37" s="114">
        <f t="shared" ref="R37" si="45">SUM(R38:R40)</f>
        <v>0</v>
      </c>
      <c r="S37" s="12">
        <f t="shared" ref="S37" si="46">SUM(S38:S40)</f>
        <v>91874</v>
      </c>
      <c r="T37" s="12">
        <f t="shared" ref="T37" si="47">SUM(T38:T40)</f>
        <v>0</v>
      </c>
      <c r="U37" s="11">
        <f t="shared" ref="U37" si="48">SUM(U38:U40)</f>
        <v>72126</v>
      </c>
      <c r="V37" s="14">
        <f t="shared" ref="V37" si="49">SUM(V38:V40)</f>
        <v>0</v>
      </c>
      <c r="W37" s="12">
        <f t="shared" ref="W37" si="50">SUM(W38:W40)</f>
        <v>0</v>
      </c>
      <c r="X37" s="12">
        <f t="shared" ref="X37" si="51">SUM(X38:X40)</f>
        <v>0</v>
      </c>
      <c r="Y37" s="13">
        <f t="shared" ref="Y37" si="52">SUM(Y38:Y40)</f>
        <v>0</v>
      </c>
      <c r="Z37" s="92">
        <f>+X37+V37+T37+R37+P37+N37+L37+J37+H96+H37+F37</f>
        <v>300000</v>
      </c>
      <c r="AA37" s="75">
        <f>+Y37+W37+U37+S37+Q37+O37+M37+K37+I96+I37+G37</f>
        <v>4240000</v>
      </c>
    </row>
    <row r="38" spans="2:28" x14ac:dyDescent="0.3">
      <c r="B38" s="20" t="s">
        <v>41</v>
      </c>
      <c r="C38" s="30">
        <v>940000</v>
      </c>
      <c r="D38" s="30">
        <v>0</v>
      </c>
      <c r="E38" s="90">
        <f>+C38</f>
        <v>940000</v>
      </c>
      <c r="F38" s="4">
        <v>0</v>
      </c>
      <c r="G38" s="5">
        <v>0</v>
      </c>
      <c r="H38" s="5">
        <v>0</v>
      </c>
      <c r="I38" s="6">
        <v>94000</v>
      </c>
      <c r="J38" s="7">
        <v>0</v>
      </c>
      <c r="K38" s="5">
        <v>141000</v>
      </c>
      <c r="L38" s="5">
        <v>0</v>
      </c>
      <c r="M38" s="98">
        <f>+K38</f>
        <v>141000</v>
      </c>
      <c r="N38" s="4">
        <v>0</v>
      </c>
      <c r="O38" s="5">
        <v>200000</v>
      </c>
      <c r="P38" s="5">
        <v>0</v>
      </c>
      <c r="Q38" s="6">
        <f>+O38</f>
        <v>200000</v>
      </c>
      <c r="R38" s="7">
        <v>0</v>
      </c>
      <c r="S38" s="5">
        <v>91874</v>
      </c>
      <c r="T38" s="5">
        <v>0</v>
      </c>
      <c r="U38" s="98">
        <v>72126</v>
      </c>
      <c r="V38" s="4">
        <v>0</v>
      </c>
      <c r="W38" s="5">
        <v>0</v>
      </c>
      <c r="X38" s="5">
        <v>0</v>
      </c>
      <c r="Y38" s="6">
        <v>0</v>
      </c>
      <c r="Z38" s="7">
        <f t="shared" ref="Z38:Z40" si="53">+X38+V38+T38+R38+P38+N38+L38+J38+H98+H38+F38</f>
        <v>0</v>
      </c>
      <c r="AA38" s="6">
        <f t="shared" ref="AA38:AA40" si="54">+Y38+W38+U38+S38+Q38+O38+M38+K38+I98+I38+G38</f>
        <v>940000</v>
      </c>
      <c r="AB38" s="33"/>
    </row>
    <row r="39" spans="2:28" x14ac:dyDescent="0.3">
      <c r="B39" s="32" t="s">
        <v>123</v>
      </c>
      <c r="C39" s="30">
        <v>300000</v>
      </c>
      <c r="D39" s="30">
        <f>+C39</f>
        <v>300000</v>
      </c>
      <c r="E39" s="90">
        <v>0</v>
      </c>
      <c r="F39" s="4">
        <v>0</v>
      </c>
      <c r="G39" s="5">
        <v>0</v>
      </c>
      <c r="H39" s="5">
        <f>+D39</f>
        <v>300000</v>
      </c>
      <c r="I39" s="6">
        <v>0</v>
      </c>
      <c r="J39" s="7">
        <v>0</v>
      </c>
      <c r="K39" s="5">
        <v>0</v>
      </c>
      <c r="L39" s="5">
        <v>0</v>
      </c>
      <c r="M39" s="98">
        <v>0</v>
      </c>
      <c r="N39" s="4">
        <v>0</v>
      </c>
      <c r="O39" s="5">
        <v>0</v>
      </c>
      <c r="P39" s="5">
        <v>0</v>
      </c>
      <c r="Q39" s="6">
        <v>0</v>
      </c>
      <c r="R39" s="7">
        <v>0</v>
      </c>
      <c r="S39" s="5">
        <v>0</v>
      </c>
      <c r="T39" s="5">
        <v>0</v>
      </c>
      <c r="U39" s="98">
        <v>0</v>
      </c>
      <c r="V39" s="4">
        <v>0</v>
      </c>
      <c r="W39" s="5">
        <v>0</v>
      </c>
      <c r="X39" s="5">
        <v>0</v>
      </c>
      <c r="Y39" s="6">
        <v>0</v>
      </c>
      <c r="Z39" s="7">
        <f t="shared" si="53"/>
        <v>300000</v>
      </c>
      <c r="AA39" s="6">
        <f t="shared" si="54"/>
        <v>0</v>
      </c>
    </row>
    <row r="40" spans="2:28" x14ac:dyDescent="0.3">
      <c r="B40" s="20" t="s">
        <v>42</v>
      </c>
      <c r="C40" s="30">
        <v>3300000</v>
      </c>
      <c r="D40" s="30">
        <v>0</v>
      </c>
      <c r="E40" s="90">
        <f>+C40</f>
        <v>3300000</v>
      </c>
      <c r="F40" s="4">
        <v>0</v>
      </c>
      <c r="G40" s="5">
        <v>0</v>
      </c>
      <c r="H40" s="5">
        <v>0</v>
      </c>
      <c r="I40" s="6">
        <v>0</v>
      </c>
      <c r="J40" s="7">
        <v>0</v>
      </c>
      <c r="K40" s="5">
        <f>+E40*0.2</f>
        <v>660000</v>
      </c>
      <c r="L40" s="5">
        <v>0</v>
      </c>
      <c r="M40" s="98">
        <v>711662</v>
      </c>
      <c r="N40" s="4">
        <v>0</v>
      </c>
      <c r="O40" s="5">
        <f>+E40*0.3</f>
        <v>990000</v>
      </c>
      <c r="P40" s="5">
        <v>0</v>
      </c>
      <c r="Q40" s="6">
        <v>938338</v>
      </c>
      <c r="R40" s="7">
        <v>0</v>
      </c>
      <c r="S40" s="5">
        <v>0</v>
      </c>
      <c r="T40" s="5">
        <v>0</v>
      </c>
      <c r="U40" s="98">
        <v>0</v>
      </c>
      <c r="V40" s="4">
        <v>0</v>
      </c>
      <c r="W40" s="5">
        <v>0</v>
      </c>
      <c r="X40" s="5">
        <v>0</v>
      </c>
      <c r="Y40" s="6">
        <v>0</v>
      </c>
      <c r="Z40" s="7">
        <f t="shared" si="53"/>
        <v>0</v>
      </c>
      <c r="AA40" s="6">
        <f t="shared" si="54"/>
        <v>3300000</v>
      </c>
      <c r="AB40" s="33"/>
    </row>
    <row r="41" spans="2:28" s="15" customFormat="1" ht="3" customHeight="1" thickBot="1" x14ac:dyDescent="0.35">
      <c r="B41" s="117"/>
      <c r="C41" s="10"/>
      <c r="D41" s="31"/>
      <c r="E41" s="31"/>
      <c r="F41" s="117"/>
      <c r="G41" s="10"/>
      <c r="H41" s="10"/>
      <c r="I41" s="118"/>
      <c r="J41" s="10"/>
      <c r="K41" s="10"/>
      <c r="L41" s="10"/>
      <c r="M41" s="10"/>
      <c r="N41" s="117"/>
      <c r="O41" s="10"/>
      <c r="P41" s="10"/>
      <c r="Q41" s="118"/>
      <c r="R41" s="10"/>
      <c r="S41" s="10"/>
      <c r="T41" s="10"/>
      <c r="U41" s="10"/>
      <c r="V41" s="117"/>
      <c r="W41" s="10"/>
      <c r="X41" s="10"/>
      <c r="Y41" s="118"/>
      <c r="Z41" s="10"/>
      <c r="AA41" s="118"/>
    </row>
    <row r="42" spans="2:28" s="9" customFormat="1" x14ac:dyDescent="0.3">
      <c r="B42" s="16" t="s">
        <v>142</v>
      </c>
      <c r="C42" s="12">
        <f>+C43+C49+C52</f>
        <v>4810000</v>
      </c>
      <c r="D42" s="12">
        <f>+D43+D49+D52</f>
        <v>650000</v>
      </c>
      <c r="E42" s="11">
        <f>+E43+E49+E52</f>
        <v>4160000</v>
      </c>
      <c r="F42" s="14">
        <f t="shared" ref="F42:I42" si="55">+F43+F49+F52</f>
        <v>0</v>
      </c>
      <c r="G42" s="12">
        <f t="shared" si="55"/>
        <v>96000</v>
      </c>
      <c r="H42" s="12">
        <f t="shared" si="55"/>
        <v>0</v>
      </c>
      <c r="I42" s="13">
        <f t="shared" si="55"/>
        <v>144000</v>
      </c>
      <c r="J42" s="114">
        <f t="shared" ref="J42" si="56">+J43+J49+J52</f>
        <v>0</v>
      </c>
      <c r="K42" s="12">
        <f t="shared" ref="K42" si="57">+K43+K49+K52</f>
        <v>280000</v>
      </c>
      <c r="L42" s="12">
        <f t="shared" ref="L42" si="58">+L43+L49+L52</f>
        <v>0</v>
      </c>
      <c r="M42" s="11">
        <f t="shared" ref="M42" si="59">+M43+M49+M52</f>
        <v>300000</v>
      </c>
      <c r="N42" s="14">
        <f t="shared" ref="N42" si="60">+N43+N49+N52</f>
        <v>100000</v>
      </c>
      <c r="O42" s="12">
        <f t="shared" ref="O42" si="61">+O43+O49+O52</f>
        <v>704000</v>
      </c>
      <c r="P42" s="12">
        <f t="shared" ref="P42" si="62">+P43+P49+P52</f>
        <v>150000</v>
      </c>
      <c r="Q42" s="13">
        <f t="shared" ref="Q42" si="63">+Q43+Q49+Q52</f>
        <v>786000</v>
      </c>
      <c r="R42" s="114">
        <f t="shared" ref="R42" si="64">+R43+R49+R52</f>
        <v>150000</v>
      </c>
      <c r="S42" s="12">
        <f t="shared" ref="S42" si="65">+S43+S49+S52</f>
        <v>700000</v>
      </c>
      <c r="T42" s="12">
        <f t="shared" ref="T42" si="66">+T43+T49+T52</f>
        <v>130000</v>
      </c>
      <c r="U42" s="11">
        <f t="shared" ref="U42" si="67">+U43+U49+U52</f>
        <v>800000</v>
      </c>
      <c r="V42" s="14">
        <f t="shared" ref="V42" si="68">+V43+V49+V52</f>
        <v>60000</v>
      </c>
      <c r="W42" s="12">
        <f t="shared" ref="W42" si="69">+W43+W49+W52</f>
        <v>250000</v>
      </c>
      <c r="X42" s="12">
        <f t="shared" ref="X42" si="70">+X43+X49+X52</f>
        <v>60000</v>
      </c>
      <c r="Y42" s="13">
        <f t="shared" ref="Y42" si="71">+Y43+Y49+Y52</f>
        <v>100000</v>
      </c>
      <c r="Z42" s="92">
        <f>+X42+V42+T42+R42+P42+N42+L42+J42+H101+H42+F42</f>
        <v>650000</v>
      </c>
      <c r="AA42" s="75">
        <f>+Y42+W42+U42+S42+Q42+O42+M42+K42+I101+I42+G42</f>
        <v>4160000</v>
      </c>
    </row>
    <row r="43" spans="2:28" x14ac:dyDescent="0.3">
      <c r="B43" s="19" t="s">
        <v>43</v>
      </c>
      <c r="C43" s="29">
        <f>SUM(C44:C48)</f>
        <v>3960000</v>
      </c>
      <c r="D43" s="29">
        <f>SUM(D44:D48)</f>
        <v>0</v>
      </c>
      <c r="E43" s="89">
        <f>SUM(E44:E48)</f>
        <v>3960000</v>
      </c>
      <c r="F43" s="94">
        <f t="shared" ref="F43:I43" si="72">SUM(F44:F48)</f>
        <v>0</v>
      </c>
      <c r="G43" s="29">
        <f t="shared" si="72"/>
        <v>96000</v>
      </c>
      <c r="H43" s="29">
        <f t="shared" si="72"/>
        <v>0</v>
      </c>
      <c r="I43" s="95">
        <f t="shared" si="72"/>
        <v>144000</v>
      </c>
      <c r="J43" s="93">
        <f t="shared" ref="J43" si="73">SUM(J44:J48)</f>
        <v>0</v>
      </c>
      <c r="K43" s="29">
        <f t="shared" ref="K43" si="74">SUM(K44:K48)</f>
        <v>240000</v>
      </c>
      <c r="L43" s="29">
        <f t="shared" ref="L43" si="75">SUM(L44:L48)</f>
        <v>0</v>
      </c>
      <c r="M43" s="89">
        <f t="shared" ref="M43" si="76">SUM(M44:M48)</f>
        <v>240000</v>
      </c>
      <c r="N43" s="94">
        <f t="shared" ref="N43" si="77">SUM(N44:N48)</f>
        <v>0</v>
      </c>
      <c r="O43" s="29">
        <f t="shared" ref="O43" si="78">SUM(O44:O48)</f>
        <v>644000</v>
      </c>
      <c r="P43" s="29">
        <f t="shared" ref="P43" si="79">SUM(P44:P48)</f>
        <v>0</v>
      </c>
      <c r="Q43" s="95">
        <f t="shared" ref="Q43" si="80">SUM(Q44:Q48)</f>
        <v>746000</v>
      </c>
      <c r="R43" s="93">
        <f t="shared" ref="R43" si="81">SUM(R44:R48)</f>
        <v>0</v>
      </c>
      <c r="S43" s="29">
        <f t="shared" ref="S43" si="82">SUM(S44:S48)</f>
        <v>700000</v>
      </c>
      <c r="T43" s="29">
        <f t="shared" ref="T43" si="83">SUM(T44:T48)</f>
        <v>0</v>
      </c>
      <c r="U43" s="89">
        <f t="shared" ref="U43" si="84">SUM(U44:U48)</f>
        <v>800000</v>
      </c>
      <c r="V43" s="94">
        <f t="shared" ref="V43" si="85">SUM(V44:V48)</f>
        <v>0</v>
      </c>
      <c r="W43" s="29">
        <f t="shared" ref="W43" si="86">SUM(W44:W48)</f>
        <v>250000</v>
      </c>
      <c r="X43" s="29">
        <f t="shared" ref="X43" si="87">SUM(X44:X48)</f>
        <v>0</v>
      </c>
      <c r="Y43" s="95">
        <f t="shared" ref="Y43" si="88">SUM(Y44:Y48)</f>
        <v>100000</v>
      </c>
      <c r="Z43" s="120">
        <f t="shared" ref="Z43:AA43" si="89">+X43+V43+T43+R43+P43+N43+L43+J43+H102+H43+F43</f>
        <v>0</v>
      </c>
      <c r="AA43" s="109">
        <f t="shared" si="89"/>
        <v>3960000</v>
      </c>
    </row>
    <row r="44" spans="2:28" ht="14.4" x14ac:dyDescent="0.3">
      <c r="B44" s="35" t="s">
        <v>44</v>
      </c>
      <c r="C44" s="30">
        <v>480000</v>
      </c>
      <c r="D44" s="34">
        <v>0</v>
      </c>
      <c r="E44" s="110">
        <f>+C44</f>
        <v>480000</v>
      </c>
      <c r="F44" s="4">
        <v>0</v>
      </c>
      <c r="G44" s="5">
        <f>+E44*0.2</f>
        <v>96000</v>
      </c>
      <c r="H44" s="5">
        <v>0</v>
      </c>
      <c r="I44" s="6">
        <v>144000</v>
      </c>
      <c r="J44" s="7">
        <v>0</v>
      </c>
      <c r="K44" s="5">
        <f>+E44*0.3</f>
        <v>144000</v>
      </c>
      <c r="L44" s="5">
        <v>0</v>
      </c>
      <c r="M44" s="98">
        <f>+E44*0.2</f>
        <v>96000</v>
      </c>
      <c r="N44" s="4">
        <v>0</v>
      </c>
      <c r="O44" s="5">
        <v>0</v>
      </c>
      <c r="P44" s="5">
        <v>0</v>
      </c>
      <c r="Q44" s="6">
        <v>0</v>
      </c>
      <c r="R44" s="7">
        <v>0</v>
      </c>
      <c r="S44" s="5">
        <v>0</v>
      </c>
      <c r="T44" s="5">
        <v>0</v>
      </c>
      <c r="U44" s="98">
        <v>0</v>
      </c>
      <c r="V44" s="4">
        <v>0</v>
      </c>
      <c r="W44" s="5">
        <v>0</v>
      </c>
      <c r="X44" s="5">
        <v>0</v>
      </c>
      <c r="Y44" s="6">
        <v>0</v>
      </c>
      <c r="Z44" s="7">
        <f t="shared" ref="Z44:AA44" si="90">+X44+V44+T44+R44+P44+N44+L44+J44+H103+H44+F44</f>
        <v>0</v>
      </c>
      <c r="AA44" s="6">
        <f t="shared" si="90"/>
        <v>480000</v>
      </c>
    </row>
    <row r="45" spans="2:28" ht="14.4" x14ac:dyDescent="0.3">
      <c r="B45" s="36" t="s">
        <v>45</v>
      </c>
      <c r="C45" s="30">
        <v>480000</v>
      </c>
      <c r="D45" s="34">
        <v>0</v>
      </c>
      <c r="E45" s="110">
        <f>+C45</f>
        <v>480000</v>
      </c>
      <c r="F45" s="4">
        <v>0</v>
      </c>
      <c r="G45" s="5">
        <v>0</v>
      </c>
      <c r="H45" s="5">
        <v>0</v>
      </c>
      <c r="I45" s="6">
        <v>0</v>
      </c>
      <c r="J45" s="7">
        <v>0</v>
      </c>
      <c r="K45" s="5">
        <f>+E45*0.2</f>
        <v>96000</v>
      </c>
      <c r="L45" s="5">
        <v>0</v>
      </c>
      <c r="M45" s="98">
        <f>+E45*0.3</f>
        <v>144000</v>
      </c>
      <c r="N45" s="4">
        <v>0</v>
      </c>
      <c r="O45" s="5">
        <f>+E45*0.3</f>
        <v>144000</v>
      </c>
      <c r="P45" s="5">
        <v>0</v>
      </c>
      <c r="Q45" s="6">
        <f>+E45*0.2</f>
        <v>96000</v>
      </c>
      <c r="R45" s="7">
        <v>0</v>
      </c>
      <c r="S45" s="5">
        <v>0</v>
      </c>
      <c r="T45" s="5">
        <v>0</v>
      </c>
      <c r="U45" s="98">
        <v>0</v>
      </c>
      <c r="V45" s="4">
        <v>0</v>
      </c>
      <c r="W45" s="5">
        <v>0</v>
      </c>
      <c r="X45" s="5">
        <v>0</v>
      </c>
      <c r="Y45" s="6">
        <v>0</v>
      </c>
      <c r="Z45" s="7">
        <f t="shared" ref="Z45:AA45" si="91">+X45+V45+T45+R45+P45+N45+L45+J45+H104+H45+F45</f>
        <v>0</v>
      </c>
      <c r="AA45" s="6">
        <f t="shared" si="91"/>
        <v>480000</v>
      </c>
    </row>
    <row r="46" spans="2:28" ht="14.4" x14ac:dyDescent="0.3">
      <c r="B46" s="36" t="s">
        <v>46</v>
      </c>
      <c r="C46" s="30">
        <v>500000</v>
      </c>
      <c r="D46" s="34">
        <v>0</v>
      </c>
      <c r="E46" s="110">
        <f>+C46</f>
        <v>500000</v>
      </c>
      <c r="F46" s="4">
        <v>0</v>
      </c>
      <c r="G46" s="5">
        <v>0</v>
      </c>
      <c r="H46" s="5">
        <v>0</v>
      </c>
      <c r="I46" s="6">
        <v>0</v>
      </c>
      <c r="J46" s="7">
        <v>0</v>
      </c>
      <c r="K46" s="5">
        <v>0</v>
      </c>
      <c r="L46" s="5">
        <v>0</v>
      </c>
      <c r="M46" s="98">
        <v>0</v>
      </c>
      <c r="N46" s="4">
        <v>0</v>
      </c>
      <c r="O46" s="5">
        <f>+E46*0.2</f>
        <v>100000</v>
      </c>
      <c r="P46" s="5">
        <v>0</v>
      </c>
      <c r="Q46" s="6">
        <v>200000</v>
      </c>
      <c r="R46" s="7">
        <v>0</v>
      </c>
      <c r="S46" s="5">
        <v>100000</v>
      </c>
      <c r="T46" s="5">
        <v>0</v>
      </c>
      <c r="U46" s="98">
        <f>+O46</f>
        <v>100000</v>
      </c>
      <c r="V46" s="4">
        <v>0</v>
      </c>
      <c r="W46" s="5">
        <v>0</v>
      </c>
      <c r="X46" s="5">
        <v>0</v>
      </c>
      <c r="Y46" s="6">
        <v>0</v>
      </c>
      <c r="Z46" s="7">
        <f t="shared" ref="Z46:AA46" si="92">+X46+V46+T46+R46+P46+N46+L46+J46+H105+H46+F46</f>
        <v>0</v>
      </c>
      <c r="AA46" s="6">
        <f t="shared" si="92"/>
        <v>500000</v>
      </c>
    </row>
    <row r="47" spans="2:28" ht="14.4" x14ac:dyDescent="0.3">
      <c r="B47" s="36" t="s">
        <v>106</v>
      </c>
      <c r="C47" s="30">
        <v>2000000</v>
      </c>
      <c r="D47" s="34">
        <v>0</v>
      </c>
      <c r="E47" s="111">
        <f>+C47</f>
        <v>2000000</v>
      </c>
      <c r="F47" s="4">
        <v>0</v>
      </c>
      <c r="G47" s="5">
        <v>0</v>
      </c>
      <c r="H47" s="5">
        <v>0</v>
      </c>
      <c r="I47" s="6">
        <v>0</v>
      </c>
      <c r="J47" s="7">
        <v>0</v>
      </c>
      <c r="K47" s="5">
        <v>0</v>
      </c>
      <c r="L47" s="5">
        <v>0</v>
      </c>
      <c r="M47" s="98">
        <v>0</v>
      </c>
      <c r="N47" s="4">
        <v>0</v>
      </c>
      <c r="O47" s="5">
        <f>+E47*0.2</f>
        <v>400000</v>
      </c>
      <c r="P47" s="5">
        <v>0</v>
      </c>
      <c r="Q47" s="6">
        <v>450000</v>
      </c>
      <c r="R47" s="7">
        <v>0</v>
      </c>
      <c r="S47" s="5">
        <v>500000</v>
      </c>
      <c r="T47" s="5">
        <v>0</v>
      </c>
      <c r="U47" s="98">
        <v>550000</v>
      </c>
      <c r="V47" s="4">
        <v>0</v>
      </c>
      <c r="W47" s="5">
        <v>100000</v>
      </c>
      <c r="X47" s="5">
        <v>0</v>
      </c>
      <c r="Y47" s="6">
        <v>0</v>
      </c>
      <c r="Z47" s="7">
        <f t="shared" ref="Z47:AA47" si="93">+X47+V47+T47+R47+P47+N47+L47+J47+H106+H47+F47</f>
        <v>0</v>
      </c>
      <c r="AA47" s="6">
        <f t="shared" si="93"/>
        <v>2000000</v>
      </c>
    </row>
    <row r="48" spans="2:28" ht="14.4" x14ac:dyDescent="0.3">
      <c r="B48" s="36" t="s">
        <v>105</v>
      </c>
      <c r="C48" s="30">
        <v>500000</v>
      </c>
      <c r="D48" s="34">
        <v>0</v>
      </c>
      <c r="E48" s="110">
        <f>+C48</f>
        <v>500000</v>
      </c>
      <c r="F48" s="4">
        <v>0</v>
      </c>
      <c r="G48" s="5">
        <v>0</v>
      </c>
      <c r="H48" s="5">
        <v>0</v>
      </c>
      <c r="I48" s="6">
        <v>0</v>
      </c>
      <c r="J48" s="7">
        <v>0</v>
      </c>
      <c r="K48" s="5">
        <v>0</v>
      </c>
      <c r="L48" s="5">
        <v>0</v>
      </c>
      <c r="M48" s="98">
        <v>0</v>
      </c>
      <c r="N48" s="4">
        <v>0</v>
      </c>
      <c r="O48" s="5">
        <v>0</v>
      </c>
      <c r="P48" s="5">
        <v>0</v>
      </c>
      <c r="Q48" s="6">
        <v>0</v>
      </c>
      <c r="R48" s="7">
        <v>0</v>
      </c>
      <c r="S48" s="5">
        <f>+E48*0.2</f>
        <v>100000</v>
      </c>
      <c r="T48" s="5">
        <v>0</v>
      </c>
      <c r="U48" s="98">
        <f>+E48*0.3</f>
        <v>150000</v>
      </c>
      <c r="V48" s="4">
        <v>0</v>
      </c>
      <c r="W48" s="5">
        <f>+U48</f>
        <v>150000</v>
      </c>
      <c r="X48" s="5">
        <v>0</v>
      </c>
      <c r="Y48" s="6">
        <f>+S48</f>
        <v>100000</v>
      </c>
      <c r="Z48" s="7">
        <f t="shared" ref="Z48:AA48" si="94">+X48+V48+T48+R48+P48+N48+L48+J48+H107+H48+F48</f>
        <v>0</v>
      </c>
      <c r="AA48" s="6">
        <f t="shared" si="94"/>
        <v>500000</v>
      </c>
    </row>
    <row r="49" spans="2:27" x14ac:dyDescent="0.3">
      <c r="B49" s="19" t="s">
        <v>117</v>
      </c>
      <c r="C49" s="29">
        <f>+C50+C51</f>
        <v>650000</v>
      </c>
      <c r="D49" s="29">
        <f>+D50+D51</f>
        <v>650000</v>
      </c>
      <c r="E49" s="89">
        <f>SUM(E50:E50)</f>
        <v>0</v>
      </c>
      <c r="F49" s="94">
        <f t="shared" ref="F49:Y49" si="95">+F50+F51</f>
        <v>0</v>
      </c>
      <c r="G49" s="29">
        <f t="shared" si="95"/>
        <v>0</v>
      </c>
      <c r="H49" s="29">
        <f t="shared" si="95"/>
        <v>0</v>
      </c>
      <c r="I49" s="95">
        <f t="shared" si="95"/>
        <v>0</v>
      </c>
      <c r="J49" s="93">
        <f t="shared" si="95"/>
        <v>0</v>
      </c>
      <c r="K49" s="29">
        <f t="shared" si="95"/>
        <v>0</v>
      </c>
      <c r="L49" s="29">
        <f t="shared" si="95"/>
        <v>0</v>
      </c>
      <c r="M49" s="89">
        <f t="shared" si="95"/>
        <v>0</v>
      </c>
      <c r="N49" s="94">
        <f t="shared" si="95"/>
        <v>100000</v>
      </c>
      <c r="O49" s="29">
        <f t="shared" si="95"/>
        <v>0</v>
      </c>
      <c r="P49" s="29">
        <f t="shared" si="95"/>
        <v>150000</v>
      </c>
      <c r="Q49" s="95">
        <f t="shared" si="95"/>
        <v>0</v>
      </c>
      <c r="R49" s="93">
        <f t="shared" si="95"/>
        <v>150000</v>
      </c>
      <c r="S49" s="29">
        <f t="shared" si="95"/>
        <v>0</v>
      </c>
      <c r="T49" s="29">
        <f t="shared" si="95"/>
        <v>130000</v>
      </c>
      <c r="U49" s="89">
        <f t="shared" si="95"/>
        <v>0</v>
      </c>
      <c r="V49" s="94">
        <f t="shared" si="95"/>
        <v>60000</v>
      </c>
      <c r="W49" s="29">
        <f t="shared" si="95"/>
        <v>0</v>
      </c>
      <c r="X49" s="29">
        <f t="shared" si="95"/>
        <v>60000</v>
      </c>
      <c r="Y49" s="95">
        <f t="shared" si="95"/>
        <v>0</v>
      </c>
      <c r="Z49" s="120">
        <f t="shared" ref="Z49:AA49" si="96">+X49+V49+T49+R49+P49+N49+L49+J49+H108+H49+F49</f>
        <v>650000</v>
      </c>
      <c r="AA49" s="109">
        <f t="shared" si="96"/>
        <v>0</v>
      </c>
    </row>
    <row r="50" spans="2:27" ht="14.4" x14ac:dyDescent="0.3">
      <c r="B50" s="36" t="s">
        <v>118</v>
      </c>
      <c r="C50" s="30">
        <v>500000</v>
      </c>
      <c r="D50" s="34">
        <f>+C50</f>
        <v>500000</v>
      </c>
      <c r="E50" s="110">
        <v>0</v>
      </c>
      <c r="F50" s="4">
        <v>0</v>
      </c>
      <c r="G50" s="5">
        <v>0</v>
      </c>
      <c r="H50" s="5">
        <v>0</v>
      </c>
      <c r="I50" s="6">
        <v>0</v>
      </c>
      <c r="J50" s="7">
        <v>0</v>
      </c>
      <c r="K50" s="5">
        <v>0</v>
      </c>
      <c r="L50" s="5">
        <v>0</v>
      </c>
      <c r="M50" s="98">
        <v>0</v>
      </c>
      <c r="N50" s="4">
        <f>+D50*0.2</f>
        <v>100000</v>
      </c>
      <c r="O50" s="5">
        <v>0</v>
      </c>
      <c r="P50" s="5">
        <f>+D50*0.3</f>
        <v>150000</v>
      </c>
      <c r="Q50" s="6">
        <v>0</v>
      </c>
      <c r="R50" s="7">
        <f>+D50*0.3</f>
        <v>150000</v>
      </c>
      <c r="S50" s="5">
        <v>0</v>
      </c>
      <c r="T50" s="5">
        <f>+D50*0.2</f>
        <v>100000</v>
      </c>
      <c r="U50" s="98">
        <v>0</v>
      </c>
      <c r="V50" s="4">
        <v>0</v>
      </c>
      <c r="W50" s="5">
        <v>0</v>
      </c>
      <c r="X50" s="5">
        <v>0</v>
      </c>
      <c r="Y50" s="6">
        <v>0</v>
      </c>
      <c r="Z50" s="7">
        <f t="shared" ref="Z50:AA50" si="97">+X50+V50+T50+R50+P50+N50+L50+J50+H109+H50+F50</f>
        <v>500000</v>
      </c>
      <c r="AA50" s="6">
        <f t="shared" si="97"/>
        <v>0</v>
      </c>
    </row>
    <row r="51" spans="2:27" ht="14.4" x14ac:dyDescent="0.3">
      <c r="B51" s="36" t="s">
        <v>122</v>
      </c>
      <c r="C51" s="30">
        <v>150000</v>
      </c>
      <c r="D51" s="30">
        <f>+C51</f>
        <v>150000</v>
      </c>
      <c r="E51" s="90">
        <v>0</v>
      </c>
      <c r="F51" s="4">
        <v>0</v>
      </c>
      <c r="G51" s="5">
        <v>0</v>
      </c>
      <c r="H51" s="5">
        <v>0</v>
      </c>
      <c r="I51" s="6">
        <v>0</v>
      </c>
      <c r="J51" s="7">
        <v>0</v>
      </c>
      <c r="K51" s="5">
        <v>0</v>
      </c>
      <c r="L51" s="5">
        <v>0</v>
      </c>
      <c r="M51" s="98">
        <v>0</v>
      </c>
      <c r="N51" s="4">
        <v>0</v>
      </c>
      <c r="O51" s="5">
        <v>0</v>
      </c>
      <c r="P51" s="5">
        <v>0</v>
      </c>
      <c r="Q51" s="6">
        <v>0</v>
      </c>
      <c r="R51" s="7">
        <v>0</v>
      </c>
      <c r="S51" s="5">
        <v>0</v>
      </c>
      <c r="T51" s="5">
        <f>+D51*0.2</f>
        <v>30000</v>
      </c>
      <c r="U51" s="98">
        <v>0</v>
      </c>
      <c r="V51" s="4">
        <f>+D51*0.4</f>
        <v>60000</v>
      </c>
      <c r="W51" s="5">
        <v>0</v>
      </c>
      <c r="X51" s="5">
        <f>+D51*0.4</f>
        <v>60000</v>
      </c>
      <c r="Y51" s="6">
        <v>0</v>
      </c>
      <c r="Z51" s="7">
        <f t="shared" ref="Z51:AA51" si="98">+X51+V51+T51+R51+P51+N51+L51+J51+H110+H51+F51</f>
        <v>150000</v>
      </c>
      <c r="AA51" s="6">
        <f t="shared" si="98"/>
        <v>0</v>
      </c>
    </row>
    <row r="52" spans="2:27" x14ac:dyDescent="0.3">
      <c r="B52" s="19" t="s">
        <v>76</v>
      </c>
      <c r="C52" s="29">
        <f>+C53</f>
        <v>200000</v>
      </c>
      <c r="D52" s="29">
        <v>0</v>
      </c>
      <c r="E52" s="89">
        <f>SUM(E53:E53)</f>
        <v>200000</v>
      </c>
      <c r="F52" s="94">
        <f t="shared" ref="F52:Y52" si="99">SUM(F53:F53)</f>
        <v>0</v>
      </c>
      <c r="G52" s="29">
        <f t="shared" si="99"/>
        <v>0</v>
      </c>
      <c r="H52" s="29">
        <f t="shared" si="99"/>
        <v>0</v>
      </c>
      <c r="I52" s="95">
        <f t="shared" si="99"/>
        <v>0</v>
      </c>
      <c r="J52" s="93">
        <f t="shared" si="99"/>
        <v>0</v>
      </c>
      <c r="K52" s="29">
        <f t="shared" si="99"/>
        <v>40000</v>
      </c>
      <c r="L52" s="29">
        <f t="shared" si="99"/>
        <v>0</v>
      </c>
      <c r="M52" s="89">
        <f t="shared" si="99"/>
        <v>60000</v>
      </c>
      <c r="N52" s="94">
        <f t="shared" si="99"/>
        <v>0</v>
      </c>
      <c r="O52" s="29">
        <f t="shared" si="99"/>
        <v>60000</v>
      </c>
      <c r="P52" s="29">
        <f t="shared" si="99"/>
        <v>0</v>
      </c>
      <c r="Q52" s="95">
        <f t="shared" si="99"/>
        <v>40000</v>
      </c>
      <c r="R52" s="93">
        <f t="shared" si="99"/>
        <v>0</v>
      </c>
      <c r="S52" s="29">
        <f t="shared" si="99"/>
        <v>0</v>
      </c>
      <c r="T52" s="29">
        <f t="shared" si="99"/>
        <v>0</v>
      </c>
      <c r="U52" s="89">
        <f t="shared" si="99"/>
        <v>0</v>
      </c>
      <c r="V52" s="94">
        <f t="shared" si="99"/>
        <v>0</v>
      </c>
      <c r="W52" s="29">
        <f t="shared" si="99"/>
        <v>0</v>
      </c>
      <c r="X52" s="29">
        <f t="shared" si="99"/>
        <v>0</v>
      </c>
      <c r="Y52" s="95">
        <f t="shared" si="99"/>
        <v>0</v>
      </c>
      <c r="Z52" s="120">
        <f t="shared" ref="Z52:AA52" si="100">+X52+V52+T52+R52+P52+N52+L52+J52+H111+H52+F52</f>
        <v>0</v>
      </c>
      <c r="AA52" s="109">
        <f t="shared" si="100"/>
        <v>200000</v>
      </c>
    </row>
    <row r="53" spans="2:27" ht="15" thickBot="1" x14ac:dyDescent="0.35">
      <c r="B53" s="121" t="s">
        <v>75</v>
      </c>
      <c r="C53" s="85">
        <v>200000</v>
      </c>
      <c r="D53" s="85"/>
      <c r="E53" s="91">
        <f>+C53</f>
        <v>200000</v>
      </c>
      <c r="F53" s="82">
        <v>0</v>
      </c>
      <c r="G53" s="87">
        <v>0</v>
      </c>
      <c r="H53" s="87">
        <v>0</v>
      </c>
      <c r="I53" s="83">
        <v>0</v>
      </c>
      <c r="J53" s="86">
        <v>0</v>
      </c>
      <c r="K53" s="87">
        <f>+E53*0.2</f>
        <v>40000</v>
      </c>
      <c r="L53" s="87">
        <v>0</v>
      </c>
      <c r="M53" s="101">
        <f>+E53*0.3</f>
        <v>60000</v>
      </c>
      <c r="N53" s="82">
        <v>0</v>
      </c>
      <c r="O53" s="87">
        <f>+E53*0.3</f>
        <v>60000</v>
      </c>
      <c r="P53" s="87">
        <v>0</v>
      </c>
      <c r="Q53" s="83">
        <f>+E53*0.2</f>
        <v>40000</v>
      </c>
      <c r="R53" s="86">
        <v>0</v>
      </c>
      <c r="S53" s="87">
        <v>0</v>
      </c>
      <c r="T53" s="87">
        <v>0</v>
      </c>
      <c r="U53" s="101">
        <v>0</v>
      </c>
      <c r="V53" s="82">
        <v>0</v>
      </c>
      <c r="W53" s="87">
        <v>0</v>
      </c>
      <c r="X53" s="87">
        <v>0</v>
      </c>
      <c r="Y53" s="83">
        <v>0</v>
      </c>
      <c r="Z53" s="86">
        <f t="shared" ref="Z53:AA53" si="101">+X53+V53+T53+R53+P53+N53+L53+J53+H112+H53+F53</f>
        <v>0</v>
      </c>
      <c r="AA53" s="83">
        <f t="shared" si="101"/>
        <v>200000</v>
      </c>
    </row>
    <row r="54" spans="2:27" s="15" customFormat="1" ht="3" customHeight="1" thickBot="1" x14ac:dyDescent="0.35">
      <c r="B54" s="10"/>
      <c r="C54" s="10"/>
      <c r="D54" s="31"/>
      <c r="E54" s="3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4.4" thickBot="1" x14ac:dyDescent="0.35">
      <c r="B55" s="17" t="s">
        <v>26</v>
      </c>
      <c r="C55" s="18">
        <f>+C42+C37+C25+C4</f>
        <v>81531084</v>
      </c>
      <c r="D55" s="18">
        <f>+D42+D37+D25+D4</f>
        <v>73131084</v>
      </c>
      <c r="E55" s="112">
        <f>+E42+E37+E25+E4</f>
        <v>8400000</v>
      </c>
      <c r="F55" s="122">
        <f t="shared" ref="F55:AA55" si="102">+F42+F37+F25+F4</f>
        <v>0</v>
      </c>
      <c r="G55" s="123">
        <f t="shared" si="102"/>
        <v>96000</v>
      </c>
      <c r="H55" s="124">
        <f t="shared" si="102"/>
        <v>828500</v>
      </c>
      <c r="I55" s="125">
        <f t="shared" si="102"/>
        <v>238000</v>
      </c>
      <c r="J55" s="122">
        <f t="shared" si="102"/>
        <v>1497994.625</v>
      </c>
      <c r="K55" s="123">
        <f t="shared" si="102"/>
        <v>1081000</v>
      </c>
      <c r="L55" s="124">
        <f t="shared" si="102"/>
        <v>9933251.560897436</v>
      </c>
      <c r="M55" s="125">
        <f t="shared" si="102"/>
        <v>1152662</v>
      </c>
      <c r="N55" s="122">
        <f t="shared" si="102"/>
        <v>10137140.815166665</v>
      </c>
      <c r="O55" s="123">
        <f t="shared" si="102"/>
        <v>1894000</v>
      </c>
      <c r="P55" s="124">
        <f t="shared" si="102"/>
        <v>13022325.961884616</v>
      </c>
      <c r="Q55" s="125">
        <f t="shared" si="102"/>
        <v>1924338</v>
      </c>
      <c r="R55" s="122">
        <f t="shared" si="102"/>
        <v>13124205.0415</v>
      </c>
      <c r="S55" s="123">
        <f t="shared" si="102"/>
        <v>791874</v>
      </c>
      <c r="T55" s="124">
        <f t="shared" si="102"/>
        <v>11625840.531833334</v>
      </c>
      <c r="U55" s="125">
        <f t="shared" si="102"/>
        <v>872126</v>
      </c>
      <c r="V55" s="122">
        <f t="shared" si="102"/>
        <v>11343555.123717949</v>
      </c>
      <c r="W55" s="123">
        <f t="shared" si="102"/>
        <v>250000</v>
      </c>
      <c r="X55" s="124">
        <f t="shared" si="102"/>
        <v>1618270</v>
      </c>
      <c r="Y55" s="125">
        <f t="shared" si="102"/>
        <v>100000</v>
      </c>
      <c r="Z55" s="122">
        <f t="shared" si="102"/>
        <v>73131083.659999996</v>
      </c>
      <c r="AA55" s="123">
        <f t="shared" si="102"/>
        <v>8400000</v>
      </c>
    </row>
    <row r="56" spans="2:27" ht="6" customHeight="1" thickBot="1" x14ac:dyDescent="0.35"/>
    <row r="57" spans="2:27" ht="15.75" customHeight="1" thickBot="1" x14ac:dyDescent="0.35">
      <c r="B57" s="17" t="s">
        <v>127</v>
      </c>
      <c r="C57" s="18"/>
      <c r="D57" s="18">
        <f>+D55</f>
        <v>73131084</v>
      </c>
      <c r="E57" s="112"/>
      <c r="F57" s="295">
        <v>0</v>
      </c>
      <c r="G57" s="296"/>
      <c r="H57" s="293">
        <f>+H55/D57</f>
        <v>1.1328971959447504E-2</v>
      </c>
      <c r="I57" s="294"/>
      <c r="J57" s="295">
        <f>+J55/D57</f>
        <v>2.0483692337994061E-2</v>
      </c>
      <c r="K57" s="296"/>
      <c r="L57" s="293">
        <f>+L55/D57</f>
        <v>0.13582803669226939</v>
      </c>
      <c r="M57" s="294"/>
      <c r="N57" s="295">
        <f>+N55/D57</f>
        <v>0.13861603384911764</v>
      </c>
      <c r="O57" s="296"/>
      <c r="P57" s="293">
        <f>+P55/D57</f>
        <v>0.17806827479659151</v>
      </c>
      <c r="Q57" s="294"/>
      <c r="R57" s="295">
        <f>+R55/D57</f>
        <v>0.17946137707325657</v>
      </c>
      <c r="S57" s="296"/>
      <c r="T57" s="293">
        <f>+T55/D57</f>
        <v>0.1589726269042222</v>
      </c>
      <c r="U57" s="294"/>
      <c r="V57" s="295">
        <f>+V55/D57</f>
        <v>0.15511263478219398</v>
      </c>
      <c r="W57" s="296"/>
      <c r="X57" s="293">
        <f>+X55/D57</f>
        <v>2.2128346955721318E-2</v>
      </c>
      <c r="Y57" s="294"/>
      <c r="Z57" s="295">
        <f>SUM(F57:Y57)</f>
        <v>0.99999999535081419</v>
      </c>
      <c r="AA57" s="296"/>
    </row>
    <row r="58" spans="2:27" ht="6.75" customHeight="1" thickBot="1" x14ac:dyDescent="0.35">
      <c r="C58" s="33"/>
      <c r="D58" s="33"/>
      <c r="E58" s="33"/>
      <c r="H58" s="126"/>
      <c r="I58" s="126"/>
    </row>
    <row r="59" spans="2:27" ht="15.75" customHeight="1" thickBot="1" x14ac:dyDescent="0.35">
      <c r="B59" s="17" t="s">
        <v>128</v>
      </c>
      <c r="C59" s="18"/>
      <c r="D59" s="18"/>
      <c r="E59" s="112">
        <f>+E55</f>
        <v>8400000</v>
      </c>
      <c r="F59" s="295">
        <f>+G55/E59</f>
        <v>1.1428571428571429E-2</v>
      </c>
      <c r="G59" s="296"/>
      <c r="H59" s="293">
        <f>+I55/E59</f>
        <v>2.8333333333333332E-2</v>
      </c>
      <c r="I59" s="294"/>
      <c r="J59" s="295">
        <f>+K55/E59</f>
        <v>0.12869047619047619</v>
      </c>
      <c r="K59" s="296"/>
      <c r="L59" s="293">
        <f>+M55/E59</f>
        <v>0.13722166666666666</v>
      </c>
      <c r="M59" s="294"/>
      <c r="N59" s="295">
        <f>+O55/E59</f>
        <v>0.22547619047619047</v>
      </c>
      <c r="O59" s="296"/>
      <c r="P59" s="293">
        <f>+Q55/E59</f>
        <v>0.22908785714285715</v>
      </c>
      <c r="Q59" s="294"/>
      <c r="R59" s="295">
        <f>+S55/E59</f>
        <v>9.4270714285714291E-2</v>
      </c>
      <c r="S59" s="296"/>
      <c r="T59" s="293">
        <f>+U55/E59</f>
        <v>0.10382452380952381</v>
      </c>
      <c r="U59" s="294"/>
      <c r="V59" s="295">
        <f>+W55/E59</f>
        <v>2.976190476190476E-2</v>
      </c>
      <c r="W59" s="296"/>
      <c r="X59" s="293">
        <f>+Y55/E59</f>
        <v>1.1904761904761904E-2</v>
      </c>
      <c r="Y59" s="294"/>
      <c r="Z59" s="295">
        <f>SUM(F59:Y59)</f>
        <v>1</v>
      </c>
      <c r="AA59" s="296"/>
    </row>
    <row r="71" spans="7:7" x14ac:dyDescent="0.3">
      <c r="G71" s="238">
        <f>+G68-4219700</f>
        <v>-4219700</v>
      </c>
    </row>
  </sheetData>
  <mergeCells count="42">
    <mergeCell ref="X57:Y57"/>
    <mergeCell ref="X59:Y59"/>
    <mergeCell ref="Z57:AA57"/>
    <mergeCell ref="Z59:AA59"/>
    <mergeCell ref="V59:W59"/>
    <mergeCell ref="V57:W57"/>
    <mergeCell ref="T59:U59"/>
    <mergeCell ref="F57:G57"/>
    <mergeCell ref="J57:K57"/>
    <mergeCell ref="N57:O57"/>
    <mergeCell ref="R57:S57"/>
    <mergeCell ref="H57:I57"/>
    <mergeCell ref="L57:M57"/>
    <mergeCell ref="P57:Q57"/>
    <mergeCell ref="T57:U57"/>
    <mergeCell ref="R59:S59"/>
    <mergeCell ref="N59:O59"/>
    <mergeCell ref="F59:G59"/>
    <mergeCell ref="J59:K59"/>
    <mergeCell ref="H59:I59"/>
    <mergeCell ref="L59:M59"/>
    <mergeCell ref="P59:Q59"/>
    <mergeCell ref="V1:Y1"/>
    <mergeCell ref="V2:W2"/>
    <mergeCell ref="X2:Y2"/>
    <mergeCell ref="Z1:AA2"/>
    <mergeCell ref="N1:Q1"/>
    <mergeCell ref="N2:O2"/>
    <mergeCell ref="P2:Q2"/>
    <mergeCell ref="R1:U1"/>
    <mergeCell ref="R2:S2"/>
    <mergeCell ref="T2:U2"/>
    <mergeCell ref="H2:I2"/>
    <mergeCell ref="F1:I1"/>
    <mergeCell ref="J1:M1"/>
    <mergeCell ref="J2:K2"/>
    <mergeCell ref="L2:M2"/>
    <mergeCell ref="B1:B3"/>
    <mergeCell ref="C1:C3"/>
    <mergeCell ref="D1:D3"/>
    <mergeCell ref="E1:E3"/>
    <mergeCell ref="F2:G2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U36"/>
  <sheetViews>
    <sheetView topLeftCell="E13" zoomScale="120" zoomScaleNormal="120" workbookViewId="0">
      <selection activeCell="O29" sqref="O29"/>
    </sheetView>
  </sheetViews>
  <sheetFormatPr defaultColWidth="11.44140625" defaultRowHeight="10.199999999999999" x14ac:dyDescent="0.2"/>
  <cols>
    <col min="1" max="1" width="59.33203125" style="73" customWidth="1"/>
    <col min="2" max="2" width="17.33203125" style="73" hidden="1" customWidth="1"/>
    <col min="3" max="3" width="13.5546875" style="73" hidden="1" customWidth="1"/>
    <col min="4" max="4" width="11.5546875" style="73" hidden="1" customWidth="1"/>
    <col min="5" max="5" width="12.33203125" style="73" bestFit="1" customWidth="1"/>
    <col min="6" max="6" width="11.5546875" style="73" bestFit="1" customWidth="1"/>
    <col min="7" max="17" width="11.44140625" style="73" customWidth="1"/>
    <col min="18" max="16384" width="11.44140625" style="73"/>
  </cols>
  <sheetData>
    <row r="1" spans="1:18" x14ac:dyDescent="0.2">
      <c r="A1" s="323" t="s">
        <v>59</v>
      </c>
      <c r="B1" s="306" t="s">
        <v>1</v>
      </c>
      <c r="C1" s="306" t="s">
        <v>2</v>
      </c>
      <c r="D1" s="306" t="s">
        <v>3</v>
      </c>
      <c r="E1" s="306" t="s">
        <v>4</v>
      </c>
      <c r="F1" s="319" t="s">
        <v>8</v>
      </c>
      <c r="G1" s="260" t="s">
        <v>19</v>
      </c>
      <c r="H1" s="260"/>
      <c r="I1" s="271" t="s">
        <v>20</v>
      </c>
      <c r="J1" s="272"/>
      <c r="K1" s="271" t="s">
        <v>21</v>
      </c>
      <c r="L1" s="272"/>
      <c r="M1" s="260" t="s">
        <v>22</v>
      </c>
      <c r="N1" s="260"/>
      <c r="O1" s="271" t="s">
        <v>23</v>
      </c>
      <c r="P1" s="272"/>
      <c r="Q1" s="265" t="s">
        <v>5</v>
      </c>
    </row>
    <row r="2" spans="1:18" x14ac:dyDescent="0.2">
      <c r="A2" s="324"/>
      <c r="B2" s="307"/>
      <c r="C2" s="307"/>
      <c r="D2" s="307"/>
      <c r="E2" s="307"/>
      <c r="F2" s="320"/>
      <c r="G2" s="157" t="s">
        <v>6</v>
      </c>
      <c r="H2" s="158" t="s">
        <v>7</v>
      </c>
      <c r="I2" s="159" t="s">
        <v>6</v>
      </c>
      <c r="J2" s="217" t="s">
        <v>7</v>
      </c>
      <c r="K2" s="159" t="s">
        <v>6</v>
      </c>
      <c r="L2" s="217" t="s">
        <v>7</v>
      </c>
      <c r="M2" s="157" t="s">
        <v>6</v>
      </c>
      <c r="N2" s="158" t="s">
        <v>7</v>
      </c>
      <c r="O2" s="159" t="s">
        <v>6</v>
      </c>
      <c r="P2" s="217" t="s">
        <v>7</v>
      </c>
      <c r="Q2" s="267"/>
    </row>
    <row r="3" spans="1:18" s="161" customFormat="1" ht="11.25" x14ac:dyDescent="0.2">
      <c r="A3" s="321" t="s">
        <v>15</v>
      </c>
      <c r="B3" s="322"/>
      <c r="C3" s="322"/>
      <c r="D3" s="322"/>
      <c r="E3" s="160">
        <f>+E4+E5</f>
        <v>2134916.171625</v>
      </c>
      <c r="F3" s="218">
        <f>+F4+F5</f>
        <v>2134916.171625</v>
      </c>
      <c r="G3" s="166">
        <f t="shared" ref="G3:P3" si="0">+G4+G5</f>
        <v>150930</v>
      </c>
      <c r="H3" s="207">
        <f t="shared" si="0"/>
        <v>250930</v>
      </c>
      <c r="I3" s="167">
        <f t="shared" si="0"/>
        <v>178951.5</v>
      </c>
      <c r="J3" s="218">
        <f t="shared" si="0"/>
        <v>278951.5</v>
      </c>
      <c r="K3" s="167">
        <f t="shared" si="0"/>
        <v>198949.07500000001</v>
      </c>
      <c r="L3" s="218">
        <f t="shared" si="0"/>
        <v>298949.07500000001</v>
      </c>
      <c r="M3" s="166">
        <f t="shared" si="0"/>
        <v>208896.52875000003</v>
      </c>
      <c r="N3" s="207">
        <f t="shared" si="0"/>
        <v>308896.52875000006</v>
      </c>
      <c r="O3" s="167">
        <f t="shared" si="0"/>
        <v>129730.98206249998</v>
      </c>
      <c r="P3" s="218">
        <f t="shared" si="0"/>
        <v>129730.98206249998</v>
      </c>
      <c r="Q3" s="213">
        <f>SUM(G3:P3)</f>
        <v>2134916.171625</v>
      </c>
    </row>
    <row r="4" spans="1:18" s="165" customFormat="1" ht="11.25" x14ac:dyDescent="0.2">
      <c r="A4" s="316" t="s">
        <v>58</v>
      </c>
      <c r="B4" s="317"/>
      <c r="C4" s="317"/>
      <c r="D4" s="318"/>
      <c r="E4" s="162">
        <f>+'Costos RRHH'!L22</f>
        <v>1734916.171625</v>
      </c>
      <c r="F4" s="206">
        <f>+E4</f>
        <v>1734916.171625</v>
      </c>
      <c r="G4" s="163">
        <f>+'Costos RRHH'!G22/2</f>
        <v>150930</v>
      </c>
      <c r="H4" s="208">
        <f>+G4</f>
        <v>150930</v>
      </c>
      <c r="I4" s="164">
        <f>+'Costos RRHH'!H22/2</f>
        <v>178951.5</v>
      </c>
      <c r="J4" s="206">
        <f>+I4</f>
        <v>178951.5</v>
      </c>
      <c r="K4" s="164">
        <f>+'Costos RRHH'!I22/2</f>
        <v>198949.07500000001</v>
      </c>
      <c r="L4" s="206">
        <f>+K4</f>
        <v>198949.07500000001</v>
      </c>
      <c r="M4" s="163">
        <f>+'Costos RRHH'!J22/2</f>
        <v>208896.52875000003</v>
      </c>
      <c r="N4" s="208">
        <f>+M4</f>
        <v>208896.52875000003</v>
      </c>
      <c r="O4" s="164">
        <f>+'Costos RRHH'!K22/2</f>
        <v>129730.98206249998</v>
      </c>
      <c r="P4" s="206">
        <f>+O4</f>
        <v>129730.98206249998</v>
      </c>
      <c r="Q4" s="214">
        <f>SUM(G4:P4)</f>
        <v>1734916.171625</v>
      </c>
    </row>
    <row r="5" spans="1:18" s="165" customFormat="1" ht="11.25" x14ac:dyDescent="0.2">
      <c r="A5" s="316" t="s">
        <v>113</v>
      </c>
      <c r="B5" s="317"/>
      <c r="C5" s="317"/>
      <c r="D5" s="318"/>
      <c r="E5" s="162">
        <v>400000</v>
      </c>
      <c r="F5" s="206">
        <f>+E5</f>
        <v>400000</v>
      </c>
      <c r="G5" s="163">
        <v>0</v>
      </c>
      <c r="H5" s="208">
        <f>+F5/4</f>
        <v>100000</v>
      </c>
      <c r="I5" s="164">
        <v>0</v>
      </c>
      <c r="J5" s="206">
        <f>+H5</f>
        <v>100000</v>
      </c>
      <c r="K5" s="164">
        <v>0</v>
      </c>
      <c r="L5" s="206">
        <f>+J5</f>
        <v>100000</v>
      </c>
      <c r="M5" s="163">
        <v>0</v>
      </c>
      <c r="N5" s="208">
        <f>+L5</f>
        <v>100000</v>
      </c>
      <c r="O5" s="164">
        <v>0</v>
      </c>
      <c r="P5" s="206">
        <v>0</v>
      </c>
      <c r="Q5" s="214">
        <f>SUM(G5:P5)</f>
        <v>400000</v>
      </c>
    </row>
    <row r="6" spans="1:18" s="161" customFormat="1" ht="11.25" x14ac:dyDescent="0.2">
      <c r="A6" s="299" t="s">
        <v>70</v>
      </c>
      <c r="B6" s="300"/>
      <c r="C6" s="300"/>
      <c r="D6" s="301"/>
      <c r="E6" s="160">
        <f>SUM(E7:E12)</f>
        <v>362000</v>
      </c>
      <c r="F6" s="218">
        <f>SUM(F7:F12)</f>
        <v>362000</v>
      </c>
      <c r="G6" s="166">
        <f t="shared" ref="G6:P6" si="1">SUM(G7:G12)</f>
        <v>35500</v>
      </c>
      <c r="H6" s="207">
        <f t="shared" si="1"/>
        <v>36900</v>
      </c>
      <c r="I6" s="167">
        <f t="shared" si="1"/>
        <v>35500</v>
      </c>
      <c r="J6" s="218">
        <f t="shared" si="1"/>
        <v>36900</v>
      </c>
      <c r="K6" s="167">
        <f t="shared" si="1"/>
        <v>35500</v>
      </c>
      <c r="L6" s="218">
        <f t="shared" si="1"/>
        <v>36900</v>
      </c>
      <c r="M6" s="166">
        <f t="shared" si="1"/>
        <v>35500</v>
      </c>
      <c r="N6" s="207">
        <f t="shared" si="1"/>
        <v>36900</v>
      </c>
      <c r="O6" s="167">
        <f t="shared" si="1"/>
        <v>35500</v>
      </c>
      <c r="P6" s="218">
        <f t="shared" si="1"/>
        <v>36900</v>
      </c>
      <c r="Q6" s="213">
        <f>SUM(G6:P6)</f>
        <v>362000</v>
      </c>
    </row>
    <row r="7" spans="1:18" ht="11.25" x14ac:dyDescent="0.2">
      <c r="A7" s="168" t="s">
        <v>65</v>
      </c>
      <c r="B7" s="133" t="s">
        <v>66</v>
      </c>
      <c r="C7" s="71">
        <v>2500</v>
      </c>
      <c r="D7" s="71">
        <v>60</v>
      </c>
      <c r="E7" s="71">
        <f t="shared" ref="E7:E12" si="2">+D7*C7</f>
        <v>150000</v>
      </c>
      <c r="F7" s="197">
        <f t="shared" ref="F7:F12" si="3">+E7</f>
        <v>150000</v>
      </c>
      <c r="G7" s="70">
        <f>+F7/10</f>
        <v>15000</v>
      </c>
      <c r="H7" s="209">
        <f t="shared" ref="H7:P7" si="4">+G7</f>
        <v>15000</v>
      </c>
      <c r="I7" s="69">
        <f t="shared" si="4"/>
        <v>15000</v>
      </c>
      <c r="J7" s="197">
        <f t="shared" si="4"/>
        <v>15000</v>
      </c>
      <c r="K7" s="69">
        <f t="shared" si="4"/>
        <v>15000</v>
      </c>
      <c r="L7" s="197">
        <f t="shared" si="4"/>
        <v>15000</v>
      </c>
      <c r="M7" s="70">
        <f t="shared" si="4"/>
        <v>15000</v>
      </c>
      <c r="N7" s="209">
        <f t="shared" si="4"/>
        <v>15000</v>
      </c>
      <c r="O7" s="69">
        <f t="shared" si="4"/>
        <v>15000</v>
      </c>
      <c r="P7" s="197">
        <f t="shared" si="4"/>
        <v>15000</v>
      </c>
      <c r="Q7" s="214">
        <f t="shared" ref="Q7:Q18" si="5">SUM(G7:P7)</f>
        <v>150000</v>
      </c>
    </row>
    <row r="8" spans="1:18" s="173" customFormat="1" ht="11.25" x14ac:dyDescent="0.2">
      <c r="A8" s="169" t="s">
        <v>62</v>
      </c>
      <c r="B8" s="133" t="s">
        <v>66</v>
      </c>
      <c r="C8" s="170">
        <v>800</v>
      </c>
      <c r="D8" s="170">
        <v>60</v>
      </c>
      <c r="E8" s="71">
        <f t="shared" si="2"/>
        <v>48000</v>
      </c>
      <c r="F8" s="219">
        <f t="shared" si="3"/>
        <v>48000</v>
      </c>
      <c r="G8" s="70">
        <f>+F8/10</f>
        <v>4800</v>
      </c>
      <c r="H8" s="209">
        <f t="shared" ref="H8:P8" si="6">+G8</f>
        <v>4800</v>
      </c>
      <c r="I8" s="69">
        <f t="shared" si="6"/>
        <v>4800</v>
      </c>
      <c r="J8" s="197">
        <f t="shared" si="6"/>
        <v>4800</v>
      </c>
      <c r="K8" s="69">
        <f t="shared" si="6"/>
        <v>4800</v>
      </c>
      <c r="L8" s="197">
        <f t="shared" si="6"/>
        <v>4800</v>
      </c>
      <c r="M8" s="70">
        <f t="shared" si="6"/>
        <v>4800</v>
      </c>
      <c r="N8" s="209">
        <f t="shared" si="6"/>
        <v>4800</v>
      </c>
      <c r="O8" s="69">
        <f t="shared" si="6"/>
        <v>4800</v>
      </c>
      <c r="P8" s="197">
        <f t="shared" si="6"/>
        <v>4800</v>
      </c>
      <c r="Q8" s="214">
        <f t="shared" si="5"/>
        <v>48000</v>
      </c>
    </row>
    <row r="9" spans="1:18" s="173" customFormat="1" ht="11.25" x14ac:dyDescent="0.2">
      <c r="A9" s="169" t="s">
        <v>85</v>
      </c>
      <c r="B9" s="133" t="s">
        <v>81</v>
      </c>
      <c r="C9" s="170">
        <f>+C18*0.02</f>
        <v>700</v>
      </c>
      <c r="D9" s="170">
        <f>2*5</f>
        <v>10</v>
      </c>
      <c r="E9" s="71">
        <f t="shared" si="2"/>
        <v>7000</v>
      </c>
      <c r="F9" s="219">
        <f t="shared" ref="F9:F11" si="7">+E9</f>
        <v>7000</v>
      </c>
      <c r="G9" s="70">
        <f>+F9/10</f>
        <v>700</v>
      </c>
      <c r="H9" s="209">
        <f t="shared" ref="H9:P9" si="8">+G9</f>
        <v>700</v>
      </c>
      <c r="I9" s="69">
        <f t="shared" si="8"/>
        <v>700</v>
      </c>
      <c r="J9" s="197">
        <f t="shared" si="8"/>
        <v>700</v>
      </c>
      <c r="K9" s="69">
        <f t="shared" si="8"/>
        <v>700</v>
      </c>
      <c r="L9" s="197">
        <f t="shared" si="8"/>
        <v>700</v>
      </c>
      <c r="M9" s="70">
        <f t="shared" si="8"/>
        <v>700</v>
      </c>
      <c r="N9" s="209">
        <f t="shared" si="8"/>
        <v>700</v>
      </c>
      <c r="O9" s="69">
        <f t="shared" si="8"/>
        <v>700</v>
      </c>
      <c r="P9" s="197">
        <f t="shared" si="8"/>
        <v>700</v>
      </c>
      <c r="Q9" s="214">
        <f t="shared" si="5"/>
        <v>7000</v>
      </c>
    </row>
    <row r="10" spans="1:18" s="173" customFormat="1" ht="11.25" x14ac:dyDescent="0.2">
      <c r="A10" s="169" t="s">
        <v>86</v>
      </c>
      <c r="B10" s="133" t="s">
        <v>66</v>
      </c>
      <c r="C10" s="170">
        <v>2000</v>
      </c>
      <c r="D10" s="170">
        <v>60</v>
      </c>
      <c r="E10" s="71">
        <f t="shared" si="2"/>
        <v>120000</v>
      </c>
      <c r="F10" s="219">
        <f t="shared" si="7"/>
        <v>120000</v>
      </c>
      <c r="G10" s="70">
        <f>+F10/10</f>
        <v>12000</v>
      </c>
      <c r="H10" s="209">
        <f t="shared" ref="H10:P10" si="9">+G10</f>
        <v>12000</v>
      </c>
      <c r="I10" s="69">
        <f t="shared" si="9"/>
        <v>12000</v>
      </c>
      <c r="J10" s="197">
        <f t="shared" si="9"/>
        <v>12000</v>
      </c>
      <c r="K10" s="69">
        <f t="shared" si="9"/>
        <v>12000</v>
      </c>
      <c r="L10" s="197">
        <f t="shared" si="9"/>
        <v>12000</v>
      </c>
      <c r="M10" s="70">
        <f t="shared" si="9"/>
        <v>12000</v>
      </c>
      <c r="N10" s="209">
        <f t="shared" si="9"/>
        <v>12000</v>
      </c>
      <c r="O10" s="69">
        <f t="shared" si="9"/>
        <v>12000</v>
      </c>
      <c r="P10" s="197">
        <f t="shared" si="9"/>
        <v>12000</v>
      </c>
      <c r="Q10" s="214">
        <f t="shared" si="5"/>
        <v>120000</v>
      </c>
    </row>
    <row r="11" spans="1:18" s="173" customFormat="1" ht="11.25" x14ac:dyDescent="0.2">
      <c r="A11" s="169" t="s">
        <v>87</v>
      </c>
      <c r="B11" s="133" t="s">
        <v>81</v>
      </c>
      <c r="C11" s="170">
        <v>700</v>
      </c>
      <c r="D11" s="170">
        <f>2*5</f>
        <v>10</v>
      </c>
      <c r="E11" s="71">
        <f t="shared" si="2"/>
        <v>7000</v>
      </c>
      <c r="F11" s="219">
        <f t="shared" si="7"/>
        <v>7000</v>
      </c>
      <c r="G11" s="171">
        <v>0</v>
      </c>
      <c r="H11" s="210">
        <f>+F11/5</f>
        <v>1400</v>
      </c>
      <c r="I11" s="172">
        <v>0</v>
      </c>
      <c r="J11" s="219">
        <f>+H11</f>
        <v>1400</v>
      </c>
      <c r="K11" s="172">
        <v>0</v>
      </c>
      <c r="L11" s="219">
        <f>+J11</f>
        <v>1400</v>
      </c>
      <c r="M11" s="171">
        <v>0</v>
      </c>
      <c r="N11" s="210">
        <f>+L11</f>
        <v>1400</v>
      </c>
      <c r="O11" s="172">
        <v>0</v>
      </c>
      <c r="P11" s="219">
        <f>+N11</f>
        <v>1400</v>
      </c>
      <c r="Q11" s="214">
        <f t="shared" si="5"/>
        <v>7000</v>
      </c>
    </row>
    <row r="12" spans="1:18" s="173" customFormat="1" ht="11.25" x14ac:dyDescent="0.2">
      <c r="A12" s="169" t="s">
        <v>71</v>
      </c>
      <c r="B12" s="133" t="s">
        <v>66</v>
      </c>
      <c r="C12" s="170">
        <v>500</v>
      </c>
      <c r="D12" s="170">
        <v>60</v>
      </c>
      <c r="E12" s="71">
        <f t="shared" si="2"/>
        <v>30000</v>
      </c>
      <c r="F12" s="219">
        <f t="shared" si="3"/>
        <v>30000</v>
      </c>
      <c r="G12" s="70">
        <f>+F12/10</f>
        <v>3000</v>
      </c>
      <c r="H12" s="209">
        <f t="shared" ref="H12:P12" si="10">+G12</f>
        <v>3000</v>
      </c>
      <c r="I12" s="69">
        <f t="shared" si="10"/>
        <v>3000</v>
      </c>
      <c r="J12" s="197">
        <f t="shared" si="10"/>
        <v>3000</v>
      </c>
      <c r="K12" s="69">
        <f t="shared" si="10"/>
        <v>3000</v>
      </c>
      <c r="L12" s="197">
        <f t="shared" si="10"/>
        <v>3000</v>
      </c>
      <c r="M12" s="70">
        <f t="shared" si="10"/>
        <v>3000</v>
      </c>
      <c r="N12" s="209">
        <f t="shared" si="10"/>
        <v>3000</v>
      </c>
      <c r="O12" s="69">
        <f t="shared" si="10"/>
        <v>3000</v>
      </c>
      <c r="P12" s="197">
        <f t="shared" si="10"/>
        <v>3000</v>
      </c>
      <c r="Q12" s="214">
        <f t="shared" si="5"/>
        <v>30000</v>
      </c>
    </row>
    <row r="13" spans="1:18" s="161" customFormat="1" ht="11.25" x14ac:dyDescent="0.2">
      <c r="A13" s="299" t="s">
        <v>30</v>
      </c>
      <c r="B13" s="300"/>
      <c r="C13" s="300"/>
      <c r="D13" s="301"/>
      <c r="E13" s="160">
        <f>SUM(E14:E18)</f>
        <v>152000</v>
      </c>
      <c r="F13" s="218">
        <f>SUM(F14:F18)</f>
        <v>152000</v>
      </c>
      <c r="G13" s="166">
        <f t="shared" ref="G13:P13" si="11">SUM(G14:G18)</f>
        <v>10000</v>
      </c>
      <c r="H13" s="207">
        <f t="shared" si="11"/>
        <v>142000</v>
      </c>
      <c r="I13" s="167">
        <f t="shared" si="11"/>
        <v>0</v>
      </c>
      <c r="J13" s="218">
        <f t="shared" si="11"/>
        <v>0</v>
      </c>
      <c r="K13" s="167">
        <f t="shared" si="11"/>
        <v>0</v>
      </c>
      <c r="L13" s="218">
        <f t="shared" si="11"/>
        <v>0</v>
      </c>
      <c r="M13" s="166">
        <f t="shared" si="11"/>
        <v>0</v>
      </c>
      <c r="N13" s="207">
        <f t="shared" si="11"/>
        <v>0</v>
      </c>
      <c r="O13" s="167">
        <f t="shared" si="11"/>
        <v>0</v>
      </c>
      <c r="P13" s="218">
        <f t="shared" si="11"/>
        <v>0</v>
      </c>
      <c r="Q13" s="213">
        <f>SUM(G13:P13)</f>
        <v>152000</v>
      </c>
    </row>
    <row r="14" spans="1:18" ht="11.25" x14ac:dyDescent="0.2">
      <c r="A14" s="168" t="s">
        <v>24</v>
      </c>
      <c r="B14" s="133" t="s">
        <v>64</v>
      </c>
      <c r="C14" s="174">
        <v>2000</v>
      </c>
      <c r="D14" s="71">
        <v>16</v>
      </c>
      <c r="E14" s="71">
        <f t="shared" ref="E14:E18" si="12">+D14*C14</f>
        <v>32000</v>
      </c>
      <c r="F14" s="197">
        <f>+E14</f>
        <v>32000</v>
      </c>
      <c r="G14" s="70">
        <v>0</v>
      </c>
      <c r="H14" s="209">
        <f>+F14</f>
        <v>32000</v>
      </c>
      <c r="I14" s="69">
        <v>0</v>
      </c>
      <c r="J14" s="197">
        <v>0</v>
      </c>
      <c r="K14" s="69">
        <v>0</v>
      </c>
      <c r="L14" s="197">
        <v>0</v>
      </c>
      <c r="M14" s="70">
        <v>0</v>
      </c>
      <c r="N14" s="209">
        <v>0</v>
      </c>
      <c r="O14" s="69">
        <v>0</v>
      </c>
      <c r="P14" s="197">
        <v>0</v>
      </c>
      <c r="Q14" s="214">
        <f t="shared" si="5"/>
        <v>32000</v>
      </c>
      <c r="R14" s="72"/>
    </row>
    <row r="15" spans="1:18" s="173" customFormat="1" x14ac:dyDescent="0.2">
      <c r="A15" s="169" t="s">
        <v>78</v>
      </c>
      <c r="B15" s="133" t="s">
        <v>64</v>
      </c>
      <c r="C15" s="170">
        <v>2000</v>
      </c>
      <c r="D15" s="170">
        <v>16</v>
      </c>
      <c r="E15" s="71">
        <f t="shared" si="12"/>
        <v>32000</v>
      </c>
      <c r="F15" s="197">
        <f t="shared" ref="F15:F18" si="13">+E15</f>
        <v>32000</v>
      </c>
      <c r="G15" s="171">
        <v>0</v>
      </c>
      <c r="H15" s="210">
        <f>+F15</f>
        <v>32000</v>
      </c>
      <c r="I15" s="172">
        <v>0</v>
      </c>
      <c r="J15" s="219">
        <v>0</v>
      </c>
      <c r="K15" s="172">
        <v>0</v>
      </c>
      <c r="L15" s="219">
        <v>0</v>
      </c>
      <c r="M15" s="171">
        <v>0</v>
      </c>
      <c r="N15" s="210">
        <v>0</v>
      </c>
      <c r="O15" s="172">
        <v>0</v>
      </c>
      <c r="P15" s="219">
        <v>0</v>
      </c>
      <c r="Q15" s="214">
        <f t="shared" si="5"/>
        <v>32000</v>
      </c>
    </row>
    <row r="16" spans="1:18" s="173" customFormat="1" ht="11.25" x14ac:dyDescent="0.2">
      <c r="A16" s="169" t="s">
        <v>61</v>
      </c>
      <c r="B16" s="133" t="s">
        <v>64</v>
      </c>
      <c r="C16" s="170">
        <v>10000</v>
      </c>
      <c r="D16" s="170">
        <v>1</v>
      </c>
      <c r="E16" s="71">
        <f t="shared" si="12"/>
        <v>10000</v>
      </c>
      <c r="F16" s="197">
        <f t="shared" si="13"/>
        <v>10000</v>
      </c>
      <c r="G16" s="171">
        <f>+F16</f>
        <v>10000</v>
      </c>
      <c r="H16" s="210">
        <v>0</v>
      </c>
      <c r="I16" s="172">
        <v>0</v>
      </c>
      <c r="J16" s="219">
        <v>0</v>
      </c>
      <c r="K16" s="172">
        <v>0</v>
      </c>
      <c r="L16" s="219">
        <v>0</v>
      </c>
      <c r="M16" s="171">
        <v>0</v>
      </c>
      <c r="N16" s="210">
        <v>0</v>
      </c>
      <c r="O16" s="172">
        <v>0</v>
      </c>
      <c r="P16" s="219">
        <v>0</v>
      </c>
      <c r="Q16" s="214">
        <f t="shared" si="5"/>
        <v>10000</v>
      </c>
    </row>
    <row r="17" spans="1:21" s="173" customFormat="1" ht="11.25" x14ac:dyDescent="0.2">
      <c r="A17" s="169" t="s">
        <v>79</v>
      </c>
      <c r="B17" s="133" t="s">
        <v>64</v>
      </c>
      <c r="C17" s="170">
        <v>8000</v>
      </c>
      <c r="D17" s="170">
        <v>1</v>
      </c>
      <c r="E17" s="71">
        <f t="shared" si="12"/>
        <v>8000</v>
      </c>
      <c r="F17" s="197">
        <f t="shared" si="13"/>
        <v>8000</v>
      </c>
      <c r="G17" s="171">
        <v>0</v>
      </c>
      <c r="H17" s="210">
        <f>+F17</f>
        <v>8000</v>
      </c>
      <c r="I17" s="172">
        <v>0</v>
      </c>
      <c r="J17" s="219">
        <v>0</v>
      </c>
      <c r="K17" s="172">
        <v>0</v>
      </c>
      <c r="L17" s="219">
        <v>0</v>
      </c>
      <c r="M17" s="171">
        <v>0</v>
      </c>
      <c r="N17" s="210">
        <v>0</v>
      </c>
      <c r="O17" s="172">
        <v>0</v>
      </c>
      <c r="P17" s="219">
        <v>0</v>
      </c>
      <c r="Q17" s="214">
        <f t="shared" si="5"/>
        <v>8000</v>
      </c>
    </row>
    <row r="18" spans="1:21" s="173" customFormat="1" ht="10.8" thickBot="1" x14ac:dyDescent="0.25">
      <c r="A18" s="200" t="s">
        <v>25</v>
      </c>
      <c r="B18" s="201" t="s">
        <v>31</v>
      </c>
      <c r="C18" s="202">
        <v>35000</v>
      </c>
      <c r="D18" s="202">
        <v>2</v>
      </c>
      <c r="E18" s="203">
        <f t="shared" si="12"/>
        <v>70000</v>
      </c>
      <c r="F18" s="220">
        <f t="shared" si="13"/>
        <v>70000</v>
      </c>
      <c r="G18" s="204">
        <v>0</v>
      </c>
      <c r="H18" s="211">
        <f>+F18</f>
        <v>70000</v>
      </c>
      <c r="I18" s="205">
        <v>0</v>
      </c>
      <c r="J18" s="220">
        <v>0</v>
      </c>
      <c r="K18" s="205">
        <v>0</v>
      </c>
      <c r="L18" s="220">
        <v>0</v>
      </c>
      <c r="M18" s="204">
        <v>0</v>
      </c>
      <c r="N18" s="211">
        <v>0</v>
      </c>
      <c r="O18" s="205">
        <v>0</v>
      </c>
      <c r="P18" s="220">
        <v>0</v>
      </c>
      <c r="Q18" s="215">
        <f t="shared" si="5"/>
        <v>70000</v>
      </c>
    </row>
    <row r="19" spans="1:21" s="161" customFormat="1" ht="10.8" thickBot="1" x14ac:dyDescent="0.25">
      <c r="A19" s="297" t="s">
        <v>10</v>
      </c>
      <c r="B19" s="298"/>
      <c r="C19" s="298"/>
      <c r="D19" s="298"/>
      <c r="E19" s="176"/>
      <c r="F19" s="216">
        <f>+F13+F6+F3</f>
        <v>2648916.171625</v>
      </c>
      <c r="G19" s="176">
        <f t="shared" ref="G19:P19" si="14">+G13+G6+G3</f>
        <v>196430</v>
      </c>
      <c r="H19" s="212">
        <f t="shared" si="14"/>
        <v>429830</v>
      </c>
      <c r="I19" s="177">
        <f t="shared" si="14"/>
        <v>214451.5</v>
      </c>
      <c r="J19" s="216">
        <f t="shared" si="14"/>
        <v>315851.5</v>
      </c>
      <c r="K19" s="177">
        <f t="shared" si="14"/>
        <v>234449.07500000001</v>
      </c>
      <c r="L19" s="216">
        <f t="shared" si="14"/>
        <v>335849.07500000001</v>
      </c>
      <c r="M19" s="176">
        <f t="shared" si="14"/>
        <v>244396.52875000003</v>
      </c>
      <c r="N19" s="212">
        <f t="shared" si="14"/>
        <v>345796.52875000006</v>
      </c>
      <c r="O19" s="177">
        <f t="shared" si="14"/>
        <v>165230.98206249997</v>
      </c>
      <c r="P19" s="216">
        <f t="shared" si="14"/>
        <v>166630.98206249997</v>
      </c>
      <c r="Q19" s="216">
        <f>SUM(G19:P19)</f>
        <v>2648916.171625</v>
      </c>
      <c r="R19" s="178"/>
      <c r="S19" s="179"/>
      <c r="T19" s="179"/>
      <c r="U19" s="180"/>
    </row>
    <row r="20" spans="1:21" ht="9" customHeight="1" thickBot="1" x14ac:dyDescent="0.25">
      <c r="A20" s="302"/>
      <c r="B20" s="303"/>
      <c r="C20" s="303"/>
      <c r="D20" s="303"/>
      <c r="E20" s="303"/>
      <c r="F20" s="303"/>
    </row>
    <row r="21" spans="1:21" s="161" customFormat="1" ht="11.25" x14ac:dyDescent="0.2">
      <c r="A21" s="193" t="s">
        <v>32</v>
      </c>
      <c r="B21" s="194"/>
      <c r="C21" s="195"/>
      <c r="D21" s="195"/>
      <c r="E21" s="195">
        <f>SUM(E22:E24)</f>
        <v>600000</v>
      </c>
      <c r="F21" s="223">
        <f>SUM(F22:F24)</f>
        <v>600000</v>
      </c>
      <c r="G21" s="196">
        <f t="shared" ref="G21:H21" si="15">SUM(G22:G24)</f>
        <v>0</v>
      </c>
      <c r="H21" s="225">
        <f t="shared" si="15"/>
        <v>110000</v>
      </c>
      <c r="I21" s="196">
        <f t="shared" ref="I21" si="16">SUM(I22:I24)</f>
        <v>280000</v>
      </c>
      <c r="J21" s="225">
        <f t="shared" ref="J21" si="17">SUM(J22:J24)</f>
        <v>110000</v>
      </c>
      <c r="K21" s="196">
        <f t="shared" ref="K21" si="18">SUM(K22:K24)</f>
        <v>0</v>
      </c>
      <c r="L21" s="225">
        <f t="shared" ref="L21" si="19">SUM(L22:L24)</f>
        <v>50000</v>
      </c>
      <c r="M21" s="196">
        <f t="shared" ref="M21" si="20">SUM(M22:M24)</f>
        <v>0</v>
      </c>
      <c r="N21" s="225">
        <f t="shared" ref="N21" si="21">SUM(N22:N24)</f>
        <v>50000</v>
      </c>
      <c r="O21" s="196">
        <f t="shared" ref="O21" si="22">SUM(O22:O24)</f>
        <v>0</v>
      </c>
      <c r="P21" s="229">
        <f t="shared" ref="P21" si="23">SUM(P22:P24)</f>
        <v>0</v>
      </c>
      <c r="Q21" s="231">
        <f>SUM(G21:P21)</f>
        <v>600000</v>
      </c>
    </row>
    <row r="22" spans="1:21" x14ac:dyDescent="0.2">
      <c r="A22" s="181" t="s">
        <v>109</v>
      </c>
      <c r="B22" s="133" t="s">
        <v>9</v>
      </c>
      <c r="C22" s="182">
        <v>200000</v>
      </c>
      <c r="D22" s="71">
        <v>1</v>
      </c>
      <c r="E22" s="71">
        <f t="shared" ref="E22:E23" si="24">+D22*C22</f>
        <v>200000</v>
      </c>
      <c r="F22" s="209">
        <f t="shared" ref="F22:F23" si="25">+E22</f>
        <v>200000</v>
      </c>
      <c r="G22" s="69">
        <v>0</v>
      </c>
      <c r="H22" s="197">
        <v>0</v>
      </c>
      <c r="I22" s="69">
        <f>+F22</f>
        <v>200000</v>
      </c>
      <c r="J22" s="197">
        <v>0</v>
      </c>
      <c r="K22" s="69">
        <v>0</v>
      </c>
      <c r="L22" s="209">
        <v>0</v>
      </c>
      <c r="M22" s="69">
        <v>0</v>
      </c>
      <c r="N22" s="197">
        <v>0</v>
      </c>
      <c r="O22" s="69">
        <v>0</v>
      </c>
      <c r="P22" s="209">
        <v>0</v>
      </c>
      <c r="Q22" s="230">
        <f t="shared" ref="Q22:Q24" si="26">SUM(G22:P22)</f>
        <v>200000</v>
      </c>
    </row>
    <row r="23" spans="1:21" ht="20.399999999999999" x14ac:dyDescent="0.2">
      <c r="A23" s="181" t="s">
        <v>67</v>
      </c>
      <c r="B23" s="133" t="s">
        <v>9</v>
      </c>
      <c r="C23" s="71">
        <v>200000</v>
      </c>
      <c r="D23" s="71">
        <v>1</v>
      </c>
      <c r="E23" s="71">
        <f t="shared" si="24"/>
        <v>200000</v>
      </c>
      <c r="F23" s="209">
        <f t="shared" si="25"/>
        <v>200000</v>
      </c>
      <c r="G23" s="69">
        <v>0</v>
      </c>
      <c r="H23" s="197">
        <f>+F23*0.3</f>
        <v>60000</v>
      </c>
      <c r="I23" s="69">
        <f>+F23*0.4</f>
        <v>80000</v>
      </c>
      <c r="J23" s="197">
        <f>+F23*0.3</f>
        <v>60000</v>
      </c>
      <c r="K23" s="69">
        <v>0</v>
      </c>
      <c r="L23" s="209">
        <v>0</v>
      </c>
      <c r="M23" s="69">
        <v>0</v>
      </c>
      <c r="N23" s="197">
        <v>0</v>
      </c>
      <c r="O23" s="69">
        <v>0</v>
      </c>
      <c r="P23" s="209">
        <v>0</v>
      </c>
      <c r="Q23" s="230">
        <f t="shared" si="26"/>
        <v>200000</v>
      </c>
    </row>
    <row r="24" spans="1:21" ht="12" thickBot="1" x14ac:dyDescent="0.25">
      <c r="A24" s="183" t="s">
        <v>110</v>
      </c>
      <c r="B24" s="222" t="s">
        <v>9</v>
      </c>
      <c r="C24" s="203">
        <v>200000</v>
      </c>
      <c r="D24" s="203">
        <v>1</v>
      </c>
      <c r="E24" s="203">
        <f t="shared" ref="E24" si="27">+D24*C24</f>
        <v>200000</v>
      </c>
      <c r="F24" s="226">
        <f t="shared" ref="F24" si="28">+E24</f>
        <v>200000</v>
      </c>
      <c r="G24" s="227">
        <v>0</v>
      </c>
      <c r="H24" s="228">
        <f>+F24/4</f>
        <v>50000</v>
      </c>
      <c r="I24" s="184">
        <v>0</v>
      </c>
      <c r="J24" s="198">
        <f>+F24/4</f>
        <v>50000</v>
      </c>
      <c r="K24" s="184">
        <v>0</v>
      </c>
      <c r="L24" s="224">
        <f>+F24/4</f>
        <v>50000</v>
      </c>
      <c r="M24" s="184">
        <v>0</v>
      </c>
      <c r="N24" s="198">
        <f>+F24/4</f>
        <v>50000</v>
      </c>
      <c r="O24" s="184">
        <v>0</v>
      </c>
      <c r="P24" s="224">
        <v>0</v>
      </c>
      <c r="Q24" s="230">
        <f t="shared" si="26"/>
        <v>200000</v>
      </c>
    </row>
    <row r="25" spans="1:21" s="161" customFormat="1" ht="12" thickBot="1" x14ac:dyDescent="0.25">
      <c r="A25" s="297" t="s">
        <v>108</v>
      </c>
      <c r="B25" s="298"/>
      <c r="C25" s="298"/>
      <c r="D25" s="298"/>
      <c r="E25" s="176">
        <f>+E21</f>
        <v>600000</v>
      </c>
      <c r="F25" s="216">
        <f>+F21</f>
        <v>600000</v>
      </c>
      <c r="G25" s="176">
        <f t="shared" ref="G25:P25" si="29">+G21</f>
        <v>0</v>
      </c>
      <c r="H25" s="212">
        <f t="shared" si="29"/>
        <v>110000</v>
      </c>
      <c r="I25" s="177">
        <f t="shared" si="29"/>
        <v>280000</v>
      </c>
      <c r="J25" s="216">
        <f t="shared" si="29"/>
        <v>110000</v>
      </c>
      <c r="K25" s="177">
        <f t="shared" si="29"/>
        <v>0</v>
      </c>
      <c r="L25" s="212">
        <f t="shared" si="29"/>
        <v>50000</v>
      </c>
      <c r="M25" s="177">
        <f t="shared" si="29"/>
        <v>0</v>
      </c>
      <c r="N25" s="216">
        <f t="shared" si="29"/>
        <v>50000</v>
      </c>
      <c r="O25" s="177">
        <f t="shared" si="29"/>
        <v>0</v>
      </c>
      <c r="P25" s="212">
        <f t="shared" si="29"/>
        <v>0</v>
      </c>
      <c r="Q25" s="199">
        <f>SUM(G25:P25)</f>
        <v>600000</v>
      </c>
      <c r="R25" s="178"/>
    </row>
    <row r="26" spans="1:21" ht="9" customHeight="1" thickBot="1" x14ac:dyDescent="0.25">
      <c r="A26" s="308"/>
      <c r="B26" s="309"/>
      <c r="C26" s="309"/>
      <c r="D26" s="309"/>
      <c r="E26" s="309"/>
      <c r="F26" s="309"/>
    </row>
    <row r="27" spans="1:21" x14ac:dyDescent="0.2">
      <c r="A27" s="312" t="s">
        <v>93</v>
      </c>
      <c r="B27" s="306" t="s">
        <v>1</v>
      </c>
      <c r="C27" s="306" t="s">
        <v>2</v>
      </c>
      <c r="D27" s="306" t="s">
        <v>3</v>
      </c>
      <c r="E27" s="306" t="s">
        <v>4</v>
      </c>
      <c r="F27" s="304" t="s">
        <v>8</v>
      </c>
      <c r="G27" s="271" t="s">
        <v>19</v>
      </c>
      <c r="H27" s="272"/>
      <c r="I27" s="260" t="s">
        <v>20</v>
      </c>
      <c r="J27" s="260"/>
      <c r="K27" s="271" t="s">
        <v>21</v>
      </c>
      <c r="L27" s="260"/>
      <c r="M27" s="271" t="s">
        <v>22</v>
      </c>
      <c r="N27" s="272"/>
      <c r="O27" s="271" t="s">
        <v>23</v>
      </c>
      <c r="P27" s="260"/>
      <c r="Q27" s="314" t="s">
        <v>5</v>
      </c>
    </row>
    <row r="28" spans="1:21" x14ac:dyDescent="0.2">
      <c r="A28" s="313"/>
      <c r="B28" s="307"/>
      <c r="C28" s="307"/>
      <c r="D28" s="307"/>
      <c r="E28" s="307"/>
      <c r="F28" s="305"/>
      <c r="G28" s="159" t="s">
        <v>6</v>
      </c>
      <c r="H28" s="217" t="s">
        <v>7</v>
      </c>
      <c r="I28" s="157" t="s">
        <v>6</v>
      </c>
      <c r="J28" s="158" t="s">
        <v>7</v>
      </c>
      <c r="K28" s="159" t="s">
        <v>6</v>
      </c>
      <c r="L28" s="158" t="s">
        <v>7</v>
      </c>
      <c r="M28" s="159" t="s">
        <v>6</v>
      </c>
      <c r="N28" s="217" t="s">
        <v>7</v>
      </c>
      <c r="O28" s="159" t="s">
        <v>6</v>
      </c>
      <c r="P28" s="158" t="s">
        <v>7</v>
      </c>
      <c r="Q28" s="315"/>
    </row>
    <row r="29" spans="1:21" s="173" customFormat="1" x14ac:dyDescent="0.2">
      <c r="A29" s="185" t="s">
        <v>92</v>
      </c>
      <c r="B29" s="186" t="s">
        <v>9</v>
      </c>
      <c r="C29" s="187">
        <v>20000</v>
      </c>
      <c r="D29" s="187">
        <v>5</v>
      </c>
      <c r="E29" s="170">
        <f>+D29*C29</f>
        <v>100000</v>
      </c>
      <c r="F29" s="210">
        <f t="shared" ref="F29:F33" si="30">+E29</f>
        <v>100000</v>
      </c>
      <c r="G29" s="69">
        <v>0</v>
      </c>
      <c r="H29" s="197">
        <f>+F29/5</f>
        <v>20000</v>
      </c>
      <c r="I29" s="69">
        <v>0</v>
      </c>
      <c r="J29" s="197">
        <f>+F29/5</f>
        <v>20000</v>
      </c>
      <c r="K29" s="69">
        <v>0</v>
      </c>
      <c r="L29" s="197">
        <f>+F29/5</f>
        <v>20000</v>
      </c>
      <c r="M29" s="69">
        <v>0</v>
      </c>
      <c r="N29" s="197">
        <f>+F29/5</f>
        <v>20000</v>
      </c>
      <c r="O29" s="69">
        <v>0</v>
      </c>
      <c r="P29" s="197">
        <f>+N29</f>
        <v>20000</v>
      </c>
      <c r="Q29" s="230">
        <f t="shared" ref="Q29:Q33" si="31">SUM(G29:P29)</f>
        <v>100000</v>
      </c>
    </row>
    <row r="30" spans="1:21" x14ac:dyDescent="0.2">
      <c r="A30" s="188" t="s">
        <v>11</v>
      </c>
      <c r="B30" s="189" t="s">
        <v>68</v>
      </c>
      <c r="C30" s="190">
        <v>50000</v>
      </c>
      <c r="D30" s="190">
        <v>5</v>
      </c>
      <c r="E30" s="170">
        <f t="shared" ref="E30:E33" si="32">+D30*C30</f>
        <v>250000</v>
      </c>
      <c r="F30" s="209">
        <f t="shared" si="30"/>
        <v>250000</v>
      </c>
      <c r="G30" s="69">
        <v>0</v>
      </c>
      <c r="H30" s="197">
        <f>+F30/5</f>
        <v>50000</v>
      </c>
      <c r="I30" s="69">
        <v>0</v>
      </c>
      <c r="J30" s="197">
        <f>+F30/5</f>
        <v>50000</v>
      </c>
      <c r="K30" s="69">
        <v>0</v>
      </c>
      <c r="L30" s="197">
        <f>+F30/5</f>
        <v>50000</v>
      </c>
      <c r="M30" s="69">
        <v>0</v>
      </c>
      <c r="N30" s="197">
        <f>+F30/5</f>
        <v>50000</v>
      </c>
      <c r="O30" s="69">
        <v>0</v>
      </c>
      <c r="P30" s="197">
        <f>+N30</f>
        <v>50000</v>
      </c>
      <c r="Q30" s="230">
        <f t="shared" si="31"/>
        <v>250000</v>
      </c>
    </row>
    <row r="31" spans="1:21" ht="11.25" x14ac:dyDescent="0.2">
      <c r="A31" s="188" t="s">
        <v>80</v>
      </c>
      <c r="B31" s="189" t="s">
        <v>9</v>
      </c>
      <c r="C31" s="190">
        <v>200000</v>
      </c>
      <c r="D31" s="190">
        <v>1</v>
      </c>
      <c r="E31" s="170">
        <f t="shared" si="32"/>
        <v>200000</v>
      </c>
      <c r="F31" s="209">
        <f t="shared" si="30"/>
        <v>200000</v>
      </c>
      <c r="G31" s="69">
        <v>0</v>
      </c>
      <c r="H31" s="197">
        <f>+F31*0.4</f>
        <v>80000</v>
      </c>
      <c r="I31" s="70">
        <f>+F31*0.6</f>
        <v>120000</v>
      </c>
      <c r="J31" s="71">
        <v>0</v>
      </c>
      <c r="K31" s="69">
        <v>0</v>
      </c>
      <c r="L31" s="209">
        <v>0</v>
      </c>
      <c r="M31" s="69">
        <v>0</v>
      </c>
      <c r="N31" s="197">
        <v>0</v>
      </c>
      <c r="O31" s="69">
        <v>0</v>
      </c>
      <c r="P31" s="209">
        <v>0</v>
      </c>
      <c r="Q31" s="230">
        <f t="shared" si="31"/>
        <v>200000</v>
      </c>
    </row>
    <row r="32" spans="1:21" x14ac:dyDescent="0.2">
      <c r="A32" s="188" t="s">
        <v>12</v>
      </c>
      <c r="B32" s="189" t="s">
        <v>9</v>
      </c>
      <c r="C32" s="190">
        <v>100000</v>
      </c>
      <c r="D32" s="190">
        <v>1</v>
      </c>
      <c r="E32" s="170">
        <f t="shared" si="32"/>
        <v>100000</v>
      </c>
      <c r="F32" s="209">
        <f t="shared" si="30"/>
        <v>100000</v>
      </c>
      <c r="G32" s="69">
        <v>0</v>
      </c>
      <c r="H32" s="197">
        <v>0</v>
      </c>
      <c r="I32" s="70">
        <v>0</v>
      </c>
      <c r="J32" s="71">
        <v>0</v>
      </c>
      <c r="K32" s="69">
        <v>0</v>
      </c>
      <c r="L32" s="209">
        <f>+F32</f>
        <v>100000</v>
      </c>
      <c r="M32" s="69">
        <v>0</v>
      </c>
      <c r="N32" s="197">
        <v>0</v>
      </c>
      <c r="O32" s="69">
        <v>0</v>
      </c>
      <c r="P32" s="209">
        <v>0</v>
      </c>
      <c r="Q32" s="230">
        <f t="shared" si="31"/>
        <v>100000</v>
      </c>
    </row>
    <row r="33" spans="1:18" ht="10.8" thickBot="1" x14ac:dyDescent="0.25">
      <c r="A33" s="188" t="s">
        <v>89</v>
      </c>
      <c r="B33" s="189" t="s">
        <v>9</v>
      </c>
      <c r="C33" s="190">
        <v>300000</v>
      </c>
      <c r="D33" s="190">
        <v>1</v>
      </c>
      <c r="E33" s="170">
        <f t="shared" si="32"/>
        <v>300000</v>
      </c>
      <c r="F33" s="209">
        <f t="shared" si="30"/>
        <v>300000</v>
      </c>
      <c r="G33" s="191">
        <v>0</v>
      </c>
      <c r="H33" s="234">
        <v>0</v>
      </c>
      <c r="I33" s="233">
        <v>0</v>
      </c>
      <c r="J33" s="192">
        <v>0</v>
      </c>
      <c r="K33" s="191">
        <v>0</v>
      </c>
      <c r="L33" s="236">
        <v>0</v>
      </c>
      <c r="M33" s="191">
        <v>0</v>
      </c>
      <c r="N33" s="234">
        <v>0</v>
      </c>
      <c r="O33" s="191">
        <f>+F33*0.4</f>
        <v>120000</v>
      </c>
      <c r="P33" s="236">
        <f>+F33*0.6</f>
        <v>180000</v>
      </c>
      <c r="Q33" s="230">
        <f t="shared" si="31"/>
        <v>300000</v>
      </c>
    </row>
    <row r="34" spans="1:18" s="161" customFormat="1" ht="10.8" thickBot="1" x14ac:dyDescent="0.25">
      <c r="A34" s="310" t="s">
        <v>69</v>
      </c>
      <c r="B34" s="311"/>
      <c r="C34" s="311"/>
      <c r="D34" s="311"/>
      <c r="E34" s="175">
        <f>SUM(E29:E33)</f>
        <v>950000</v>
      </c>
      <c r="F34" s="232">
        <f>SUM(F29:F33)</f>
        <v>950000</v>
      </c>
      <c r="G34" s="235">
        <f t="shared" ref="G34:P34" si="33">SUM(G29:G33)</f>
        <v>0</v>
      </c>
      <c r="H34" s="221">
        <f t="shared" si="33"/>
        <v>150000</v>
      </c>
      <c r="I34" s="176">
        <f t="shared" si="33"/>
        <v>120000</v>
      </c>
      <c r="J34" s="176">
        <f t="shared" si="33"/>
        <v>70000</v>
      </c>
      <c r="K34" s="177">
        <f t="shared" si="33"/>
        <v>0</v>
      </c>
      <c r="L34" s="212">
        <f t="shared" si="33"/>
        <v>170000</v>
      </c>
      <c r="M34" s="177">
        <f t="shared" si="33"/>
        <v>0</v>
      </c>
      <c r="N34" s="216">
        <f t="shared" si="33"/>
        <v>70000</v>
      </c>
      <c r="O34" s="177">
        <f t="shared" si="33"/>
        <v>120000</v>
      </c>
      <c r="P34" s="212">
        <f t="shared" si="33"/>
        <v>250000</v>
      </c>
      <c r="Q34" s="199">
        <f>SUM(G34:P34)</f>
        <v>950000</v>
      </c>
      <c r="R34" s="178"/>
    </row>
    <row r="36" spans="1:18" ht="11.25" x14ac:dyDescent="0.2">
      <c r="F36" s="72"/>
    </row>
  </sheetData>
  <mergeCells count="34">
    <mergeCell ref="A4:D4"/>
    <mergeCell ref="A6:D6"/>
    <mergeCell ref="F1:F2"/>
    <mergeCell ref="A3:D3"/>
    <mergeCell ref="A1:A2"/>
    <mergeCell ref="B1:B2"/>
    <mergeCell ref="C1:C2"/>
    <mergeCell ref="D1:D2"/>
    <mergeCell ref="E1:E2"/>
    <mergeCell ref="A5:D5"/>
    <mergeCell ref="Q27:Q28"/>
    <mergeCell ref="G27:H27"/>
    <mergeCell ref="I27:J27"/>
    <mergeCell ref="K27:L27"/>
    <mergeCell ref="M27:N27"/>
    <mergeCell ref="O27:P27"/>
    <mergeCell ref="Q1:Q2"/>
    <mergeCell ref="G1:H1"/>
    <mergeCell ref="I1:J1"/>
    <mergeCell ref="K1:L1"/>
    <mergeCell ref="M1:N1"/>
    <mergeCell ref="O1:P1"/>
    <mergeCell ref="A34:D34"/>
    <mergeCell ref="A27:A28"/>
    <mergeCell ref="B27:B28"/>
    <mergeCell ref="C27:C28"/>
    <mergeCell ref="D27:D28"/>
    <mergeCell ref="A19:D19"/>
    <mergeCell ref="A13:D13"/>
    <mergeCell ref="A20:F20"/>
    <mergeCell ref="A25:D25"/>
    <mergeCell ref="F27:F28"/>
    <mergeCell ref="E27:E28"/>
    <mergeCell ref="A26:F26"/>
  </mergeCells>
  <pageMargins left="0.70866141732283472" right="0.70866141732283472" top="0.74803149606299213" bottom="0.74803149606299213" header="0.31496062992125984" footer="0.31496062992125984"/>
  <pageSetup paperSize="9" scale="67" fitToHeight="2" orientation="landscape" r:id="rId1"/>
  <ignoredErrors>
    <ignoredError sqref="E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L23"/>
  <sheetViews>
    <sheetView topLeftCell="C10" zoomScale="130" zoomScaleNormal="130" workbookViewId="0">
      <selection activeCell="M29" sqref="M29"/>
    </sheetView>
  </sheetViews>
  <sheetFormatPr defaultColWidth="11.44140625" defaultRowHeight="13.8" x14ac:dyDescent="0.3"/>
  <cols>
    <col min="1" max="1" width="3.88671875" style="39" customWidth="1"/>
    <col min="2" max="2" width="38.6640625" style="56" customWidth="1"/>
    <col min="3" max="3" width="10.33203125" style="39" bestFit="1" customWidth="1"/>
    <col min="4" max="4" width="9" style="39" bestFit="1" customWidth="1"/>
    <col min="5" max="5" width="7.6640625" style="39" bestFit="1" customWidth="1"/>
    <col min="6" max="6" width="6.6640625" style="39" bestFit="1" customWidth="1"/>
    <col min="7" max="11" width="11.33203125" style="39" bestFit="1" customWidth="1"/>
    <col min="12" max="12" width="12.88671875" style="39" bestFit="1" customWidth="1"/>
    <col min="13" max="16384" width="11.44140625" style="39"/>
  </cols>
  <sheetData>
    <row r="1" spans="1:12" ht="12.75" x14ac:dyDescent="0.25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x14ac:dyDescent="0.25">
      <c r="A2" s="42"/>
      <c r="B2" s="325" t="s">
        <v>57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ht="12.75" x14ac:dyDescent="0.25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3">
      <c r="B4" s="40"/>
      <c r="C4" s="41"/>
      <c r="D4" s="41"/>
      <c r="E4" s="326" t="s">
        <v>27</v>
      </c>
      <c r="F4" s="326"/>
      <c r="G4" s="326" t="s">
        <v>13</v>
      </c>
      <c r="H4" s="326"/>
      <c r="I4" s="326"/>
      <c r="J4" s="326"/>
      <c r="K4" s="326"/>
      <c r="L4" s="326"/>
    </row>
    <row r="5" spans="1:12" x14ac:dyDescent="0.3">
      <c r="B5" s="43"/>
      <c r="C5" s="44" t="s">
        <v>54</v>
      </c>
      <c r="D5" s="44" t="s">
        <v>28</v>
      </c>
      <c r="E5" s="44" t="s">
        <v>18</v>
      </c>
      <c r="F5" s="44" t="s">
        <v>29</v>
      </c>
      <c r="G5" s="44" t="s">
        <v>19</v>
      </c>
      <c r="H5" s="44" t="s">
        <v>20</v>
      </c>
      <c r="I5" s="44" t="s">
        <v>21</v>
      </c>
      <c r="J5" s="44" t="s">
        <v>22</v>
      </c>
      <c r="K5" s="44" t="s">
        <v>23</v>
      </c>
      <c r="L5" s="44" t="s">
        <v>14</v>
      </c>
    </row>
    <row r="6" spans="1:12" ht="12.75" x14ac:dyDescent="0.25">
      <c r="A6" s="45">
        <v>1</v>
      </c>
      <c r="B6" s="46" t="s">
        <v>56</v>
      </c>
      <c r="C6" s="47">
        <v>1</v>
      </c>
      <c r="D6" s="47">
        <v>2300</v>
      </c>
      <c r="E6" s="48">
        <v>13</v>
      </c>
      <c r="F6" s="49">
        <v>5</v>
      </c>
      <c r="G6" s="49">
        <f>+$E$6*$D$6*$C$6</f>
        <v>29900</v>
      </c>
      <c r="H6" s="49">
        <f>+E6*D6*C6*1.05</f>
        <v>31395</v>
      </c>
      <c r="I6" s="49">
        <f>+H6*1.05</f>
        <v>32964.75</v>
      </c>
      <c r="J6" s="49">
        <f>+I6*1.05</f>
        <v>34612.987500000003</v>
      </c>
      <c r="K6" s="49">
        <f>+J6*1.05</f>
        <v>36343.636875000004</v>
      </c>
      <c r="L6" s="50">
        <f>SUM(G6:K6)</f>
        <v>165216.37437500001</v>
      </c>
    </row>
    <row r="7" spans="1:12" ht="12.75" x14ac:dyDescent="0.25">
      <c r="A7" s="45">
        <f>+A6+1</f>
        <v>2</v>
      </c>
      <c r="B7" s="46" t="s">
        <v>16</v>
      </c>
      <c r="C7" s="47">
        <v>1</v>
      </c>
      <c r="D7" s="47">
        <v>1700</v>
      </c>
      <c r="E7" s="48">
        <v>13</v>
      </c>
      <c r="F7" s="49">
        <v>5</v>
      </c>
      <c r="G7" s="49">
        <f t="shared" ref="G7:G20" si="0">+E7*D7*C7</f>
        <v>22100</v>
      </c>
      <c r="H7" s="49">
        <f t="shared" ref="H7:H9" si="1">+E7*D7*C7*1.05</f>
        <v>23205</v>
      </c>
      <c r="I7" s="49">
        <f t="shared" ref="I7:K8" si="2">+H7*1.05</f>
        <v>24365.25</v>
      </c>
      <c r="J7" s="49">
        <f t="shared" si="2"/>
        <v>25583.512500000001</v>
      </c>
      <c r="K7" s="49">
        <f t="shared" si="2"/>
        <v>26862.688125000001</v>
      </c>
      <c r="L7" s="50">
        <f t="shared" ref="L7:L9" si="3">SUM(G7:K7)</f>
        <v>122116.450625</v>
      </c>
    </row>
    <row r="8" spans="1:12" ht="12.75" x14ac:dyDescent="0.25">
      <c r="A8" s="45">
        <f t="shared" ref="A8:A13" si="4">+A7+1</f>
        <v>3</v>
      </c>
      <c r="B8" s="46" t="s">
        <v>47</v>
      </c>
      <c r="C8" s="47">
        <v>1</v>
      </c>
      <c r="D8" s="47">
        <v>1700</v>
      </c>
      <c r="E8" s="48">
        <v>13</v>
      </c>
      <c r="F8" s="50">
        <v>5</v>
      </c>
      <c r="G8" s="49">
        <f t="shared" si="0"/>
        <v>22100</v>
      </c>
      <c r="H8" s="49">
        <f t="shared" si="1"/>
        <v>23205</v>
      </c>
      <c r="I8" s="49">
        <f t="shared" ref="I8:J8" si="5">+H8*1.05</f>
        <v>24365.25</v>
      </c>
      <c r="J8" s="49">
        <f t="shared" si="5"/>
        <v>25583.512500000001</v>
      </c>
      <c r="K8" s="49">
        <f t="shared" si="2"/>
        <v>26862.688125000001</v>
      </c>
      <c r="L8" s="50">
        <f t="shared" si="3"/>
        <v>122116.450625</v>
      </c>
    </row>
    <row r="9" spans="1:12" ht="12.75" x14ac:dyDescent="0.25">
      <c r="A9" s="45">
        <f t="shared" si="4"/>
        <v>4</v>
      </c>
      <c r="B9" s="46" t="s">
        <v>48</v>
      </c>
      <c r="C9" s="47">
        <v>1</v>
      </c>
      <c r="D9" s="47">
        <v>1700</v>
      </c>
      <c r="E9" s="48">
        <v>13</v>
      </c>
      <c r="F9" s="50">
        <v>5</v>
      </c>
      <c r="G9" s="49">
        <f t="shared" si="0"/>
        <v>22100</v>
      </c>
      <c r="H9" s="49">
        <f t="shared" si="1"/>
        <v>23205</v>
      </c>
      <c r="I9" s="49">
        <f t="shared" ref="I9:K9" si="6">+H9*1.05</f>
        <v>24365.25</v>
      </c>
      <c r="J9" s="49">
        <f t="shared" si="6"/>
        <v>25583.512500000001</v>
      </c>
      <c r="K9" s="49">
        <f t="shared" si="6"/>
        <v>26862.688125000001</v>
      </c>
      <c r="L9" s="50">
        <f t="shared" si="3"/>
        <v>122116.450625</v>
      </c>
    </row>
    <row r="10" spans="1:12" x14ac:dyDescent="0.3">
      <c r="A10" s="45">
        <f>+A9+1</f>
        <v>5</v>
      </c>
      <c r="B10" s="46" t="s">
        <v>49</v>
      </c>
      <c r="C10" s="47">
        <v>1</v>
      </c>
      <c r="D10" s="47">
        <v>1700</v>
      </c>
      <c r="E10" s="48">
        <v>13</v>
      </c>
      <c r="F10" s="50">
        <v>5</v>
      </c>
      <c r="G10" s="49">
        <f t="shared" si="0"/>
        <v>22100</v>
      </c>
      <c r="H10" s="49">
        <f t="shared" ref="H10:H13" si="7">+E10*D10*C10*1.05</f>
        <v>23205</v>
      </c>
      <c r="I10" s="49">
        <f t="shared" ref="I10:K10" si="8">+H10*1.05</f>
        <v>24365.25</v>
      </c>
      <c r="J10" s="49">
        <f t="shared" si="8"/>
        <v>25583.512500000001</v>
      </c>
      <c r="K10" s="49">
        <f t="shared" si="8"/>
        <v>26862.688125000001</v>
      </c>
      <c r="L10" s="50">
        <f t="shared" ref="L10:L20" si="9">SUM(G10:K10)</f>
        <v>122116.450625</v>
      </c>
    </row>
    <row r="11" spans="1:12" ht="12.75" x14ac:dyDescent="0.25">
      <c r="A11" s="45">
        <f t="shared" si="4"/>
        <v>6</v>
      </c>
      <c r="B11" s="46" t="s">
        <v>50</v>
      </c>
      <c r="C11" s="47">
        <v>1</v>
      </c>
      <c r="D11" s="47">
        <v>1700</v>
      </c>
      <c r="E11" s="48">
        <v>13</v>
      </c>
      <c r="F11" s="50">
        <v>5</v>
      </c>
      <c r="G11" s="49">
        <f t="shared" si="0"/>
        <v>22100</v>
      </c>
      <c r="H11" s="49">
        <f t="shared" si="7"/>
        <v>23205</v>
      </c>
      <c r="I11" s="49">
        <f t="shared" ref="I11:K11" si="10">+H11*1.05</f>
        <v>24365.25</v>
      </c>
      <c r="J11" s="49">
        <f t="shared" si="10"/>
        <v>25583.512500000001</v>
      </c>
      <c r="K11" s="49">
        <f t="shared" si="10"/>
        <v>26862.688125000001</v>
      </c>
      <c r="L11" s="50">
        <f t="shared" si="9"/>
        <v>122116.450625</v>
      </c>
    </row>
    <row r="12" spans="1:12" ht="27.6" x14ac:dyDescent="0.3">
      <c r="A12" s="45">
        <f t="shared" si="4"/>
        <v>7</v>
      </c>
      <c r="B12" s="46" t="s">
        <v>77</v>
      </c>
      <c r="C12" s="47">
        <v>1</v>
      </c>
      <c r="D12" s="47">
        <v>1700</v>
      </c>
      <c r="E12" s="48">
        <v>13</v>
      </c>
      <c r="F12" s="51">
        <v>5</v>
      </c>
      <c r="G12" s="49">
        <f t="shared" si="0"/>
        <v>22100</v>
      </c>
      <c r="H12" s="49">
        <f t="shared" si="7"/>
        <v>23205</v>
      </c>
      <c r="I12" s="49">
        <f t="shared" ref="I12:K12" si="11">+H12*1.05</f>
        <v>24365.25</v>
      </c>
      <c r="J12" s="49">
        <f t="shared" si="11"/>
        <v>25583.512500000001</v>
      </c>
      <c r="K12" s="49">
        <f t="shared" si="11"/>
        <v>26862.688125000001</v>
      </c>
      <c r="L12" s="50">
        <f t="shared" si="9"/>
        <v>122116.450625</v>
      </c>
    </row>
    <row r="13" spans="1:12" ht="12.75" x14ac:dyDescent="0.25">
      <c r="A13" s="45">
        <f t="shared" si="4"/>
        <v>8</v>
      </c>
      <c r="B13" s="46" t="s">
        <v>82</v>
      </c>
      <c r="C13" s="47">
        <v>1</v>
      </c>
      <c r="D13" s="47">
        <v>1700</v>
      </c>
      <c r="E13" s="48">
        <v>13</v>
      </c>
      <c r="F13" s="51">
        <v>5</v>
      </c>
      <c r="G13" s="49">
        <f t="shared" ref="G13" si="12">+E13*D13*C13</f>
        <v>22100</v>
      </c>
      <c r="H13" s="49">
        <f t="shared" si="7"/>
        <v>23205</v>
      </c>
      <c r="I13" s="49">
        <f t="shared" ref="I13:K13" si="13">+H13*1.05</f>
        <v>24365.25</v>
      </c>
      <c r="J13" s="49">
        <f t="shared" si="13"/>
        <v>25583.512500000001</v>
      </c>
      <c r="K13" s="49">
        <f t="shared" si="13"/>
        <v>26862.688125000001</v>
      </c>
      <c r="L13" s="50">
        <f t="shared" ref="L13" si="14">SUM(G13:K13)</f>
        <v>122116.450625</v>
      </c>
    </row>
    <row r="14" spans="1:12" ht="12.75" x14ac:dyDescent="0.25">
      <c r="A14" s="45">
        <f>+A13+1</f>
        <v>9</v>
      </c>
      <c r="B14" s="46" t="s">
        <v>83</v>
      </c>
      <c r="C14" s="47">
        <v>1</v>
      </c>
      <c r="D14" s="47">
        <v>1700</v>
      </c>
      <c r="E14" s="48">
        <v>13</v>
      </c>
      <c r="F14" s="50">
        <v>2</v>
      </c>
      <c r="G14" s="49">
        <v>0</v>
      </c>
      <c r="H14" s="49">
        <v>0</v>
      </c>
      <c r="I14" s="49">
        <f>+C14*D14*E14</f>
        <v>22100</v>
      </c>
      <c r="J14" s="49">
        <f t="shared" ref="I14:J15" si="15">+I14*1.05</f>
        <v>23205</v>
      </c>
      <c r="K14" s="49">
        <v>0</v>
      </c>
      <c r="L14" s="50">
        <f t="shared" si="9"/>
        <v>45305</v>
      </c>
    </row>
    <row r="15" spans="1:12" ht="12.75" x14ac:dyDescent="0.25">
      <c r="A15" s="45">
        <f>A14+1</f>
        <v>10</v>
      </c>
      <c r="B15" s="46" t="s">
        <v>84</v>
      </c>
      <c r="C15" s="50">
        <v>1</v>
      </c>
      <c r="D15" s="47">
        <v>1700</v>
      </c>
      <c r="E15" s="50">
        <v>13</v>
      </c>
      <c r="F15" s="50">
        <v>4</v>
      </c>
      <c r="G15" s="49">
        <f t="shared" ref="G15" si="16">+E15*D15*C15</f>
        <v>22100</v>
      </c>
      <c r="H15" s="49">
        <f t="shared" ref="H15" si="17">+E15*D15*C15*1.05</f>
        <v>23205</v>
      </c>
      <c r="I15" s="49">
        <f t="shared" si="15"/>
        <v>24365.25</v>
      </c>
      <c r="J15" s="49">
        <f t="shared" si="15"/>
        <v>25583.512500000001</v>
      </c>
      <c r="K15" s="49">
        <v>0</v>
      </c>
      <c r="L15" s="50">
        <f t="shared" ref="L15" si="18">SUM(G15:K15)</f>
        <v>95253.762499999997</v>
      </c>
    </row>
    <row r="16" spans="1:12" ht="12.75" x14ac:dyDescent="0.25">
      <c r="A16" s="45">
        <f t="shared" ref="A16:A21" si="19">A15+1</f>
        <v>11</v>
      </c>
      <c r="B16" s="46" t="s">
        <v>51</v>
      </c>
      <c r="C16" s="47">
        <v>1</v>
      </c>
      <c r="D16" s="47">
        <v>1700</v>
      </c>
      <c r="E16" s="48">
        <v>13</v>
      </c>
      <c r="F16" s="50">
        <v>4</v>
      </c>
      <c r="G16" s="49">
        <f t="shared" si="0"/>
        <v>22100</v>
      </c>
      <c r="H16" s="49">
        <f t="shared" ref="H16:H20" si="20">+E16*D16*C16*1.05</f>
        <v>23205</v>
      </c>
      <c r="I16" s="49">
        <f t="shared" ref="I16:J16" si="21">+H16*1.05</f>
        <v>24365.25</v>
      </c>
      <c r="J16" s="49">
        <f t="shared" si="21"/>
        <v>25583.512500000001</v>
      </c>
      <c r="K16" s="49">
        <v>0</v>
      </c>
      <c r="L16" s="50">
        <f t="shared" si="9"/>
        <v>95253.762499999997</v>
      </c>
    </row>
    <row r="17" spans="1:12" ht="12.75" x14ac:dyDescent="0.25">
      <c r="A17" s="45">
        <f t="shared" si="19"/>
        <v>12</v>
      </c>
      <c r="B17" s="46" t="s">
        <v>17</v>
      </c>
      <c r="C17" s="47">
        <v>1</v>
      </c>
      <c r="D17" s="47">
        <v>1700</v>
      </c>
      <c r="E17" s="48">
        <v>13</v>
      </c>
      <c r="F17" s="50">
        <v>4</v>
      </c>
      <c r="G17" s="49">
        <f t="shared" si="0"/>
        <v>22100</v>
      </c>
      <c r="H17" s="49">
        <f t="shared" si="20"/>
        <v>23205</v>
      </c>
      <c r="I17" s="49">
        <f t="shared" ref="I17:J17" si="22">+H17*1.05</f>
        <v>24365.25</v>
      </c>
      <c r="J17" s="49">
        <f t="shared" si="22"/>
        <v>25583.512500000001</v>
      </c>
      <c r="K17" s="49">
        <v>0</v>
      </c>
      <c r="L17" s="50">
        <f t="shared" si="9"/>
        <v>95253.762499999997</v>
      </c>
    </row>
    <row r="18" spans="1:12" x14ac:dyDescent="0.3">
      <c r="A18" s="45">
        <f t="shared" si="19"/>
        <v>13</v>
      </c>
      <c r="B18" s="46" t="s">
        <v>52</v>
      </c>
      <c r="C18" s="47">
        <v>1</v>
      </c>
      <c r="D18" s="47">
        <v>1700</v>
      </c>
      <c r="E18" s="48">
        <v>13</v>
      </c>
      <c r="F18" s="50">
        <v>4</v>
      </c>
      <c r="G18" s="49">
        <f t="shared" si="0"/>
        <v>22100</v>
      </c>
      <c r="H18" s="49">
        <f t="shared" si="20"/>
        <v>23205</v>
      </c>
      <c r="I18" s="49">
        <f t="shared" ref="I18:J18" si="23">+H18*1.05</f>
        <v>24365.25</v>
      </c>
      <c r="J18" s="49">
        <f t="shared" si="23"/>
        <v>25583.512500000001</v>
      </c>
      <c r="K18" s="49">
        <v>0</v>
      </c>
      <c r="L18" s="50">
        <f t="shared" si="9"/>
        <v>95253.762499999997</v>
      </c>
    </row>
    <row r="19" spans="1:12" ht="12.75" x14ac:dyDescent="0.25">
      <c r="A19" s="45">
        <f t="shared" si="19"/>
        <v>14</v>
      </c>
      <c r="B19" s="46" t="s">
        <v>53</v>
      </c>
      <c r="C19" s="50">
        <v>2</v>
      </c>
      <c r="D19" s="50">
        <v>1500</v>
      </c>
      <c r="E19" s="48">
        <v>13</v>
      </c>
      <c r="F19" s="50">
        <v>3</v>
      </c>
      <c r="G19" s="49">
        <v>0</v>
      </c>
      <c r="H19" s="49">
        <f t="shared" si="20"/>
        <v>40950</v>
      </c>
      <c r="I19" s="49">
        <f t="shared" ref="I19:K21" si="24">+H19*1.05</f>
        <v>42997.5</v>
      </c>
      <c r="J19" s="49">
        <f t="shared" si="24"/>
        <v>45147.375</v>
      </c>
      <c r="K19" s="49">
        <v>0</v>
      </c>
      <c r="L19" s="50">
        <f t="shared" si="9"/>
        <v>129094.875</v>
      </c>
    </row>
    <row r="20" spans="1:12" ht="12.75" x14ac:dyDescent="0.25">
      <c r="A20" s="45">
        <f t="shared" si="19"/>
        <v>15</v>
      </c>
      <c r="B20" s="46" t="s">
        <v>55</v>
      </c>
      <c r="C20" s="50">
        <v>1</v>
      </c>
      <c r="D20" s="50">
        <v>1400</v>
      </c>
      <c r="E20" s="48">
        <v>13</v>
      </c>
      <c r="F20" s="50">
        <v>5</v>
      </c>
      <c r="G20" s="49">
        <f t="shared" si="0"/>
        <v>18200</v>
      </c>
      <c r="H20" s="49">
        <f t="shared" si="20"/>
        <v>19110</v>
      </c>
      <c r="I20" s="49">
        <f t="shared" si="24"/>
        <v>20065.5</v>
      </c>
      <c r="J20" s="49">
        <f t="shared" si="24"/>
        <v>21068.775000000001</v>
      </c>
      <c r="K20" s="49">
        <f t="shared" si="24"/>
        <v>22122.213750000003</v>
      </c>
      <c r="L20" s="50">
        <f t="shared" si="9"/>
        <v>100566.48874999999</v>
      </c>
    </row>
    <row r="21" spans="1:12" ht="12.75" x14ac:dyDescent="0.25">
      <c r="A21" s="45">
        <f t="shared" si="19"/>
        <v>16</v>
      </c>
      <c r="B21" s="46" t="s">
        <v>88</v>
      </c>
      <c r="C21" s="50">
        <v>2</v>
      </c>
      <c r="D21" s="50">
        <v>410</v>
      </c>
      <c r="E21" s="48">
        <v>13</v>
      </c>
      <c r="F21" s="50">
        <v>5</v>
      </c>
      <c r="G21" s="49">
        <f t="shared" ref="G21" si="25">+E21*D21*C21</f>
        <v>10660</v>
      </c>
      <c r="H21" s="49">
        <f t="shared" ref="H21" si="26">+E21*D21*C21*1.05</f>
        <v>11193</v>
      </c>
      <c r="I21" s="49">
        <f t="shared" si="24"/>
        <v>11752.65</v>
      </c>
      <c r="J21" s="49">
        <f t="shared" si="24"/>
        <v>12340.282499999999</v>
      </c>
      <c r="K21" s="49">
        <f t="shared" si="24"/>
        <v>12957.296624999999</v>
      </c>
      <c r="L21" s="50">
        <f t="shared" ref="L21" si="27">SUM(G21:K21)</f>
        <v>58903.229124999998</v>
      </c>
    </row>
    <row r="22" spans="1:12" ht="12.75" x14ac:dyDescent="0.25">
      <c r="A22" s="52"/>
      <c r="B22" s="53" t="s">
        <v>60</v>
      </c>
      <c r="C22" s="54"/>
      <c r="D22" s="54"/>
      <c r="E22" s="54"/>
      <c r="F22" s="55">
        <v>0</v>
      </c>
      <c r="G22" s="55">
        <f>SUM(G6:G21)</f>
        <v>301860</v>
      </c>
      <c r="H22" s="55">
        <f t="shared" ref="H22:K22" si="28">SUM(H6:H21)</f>
        <v>357903</v>
      </c>
      <c r="I22" s="55">
        <f t="shared" si="28"/>
        <v>397898.15</v>
      </c>
      <c r="J22" s="55">
        <f t="shared" si="28"/>
        <v>417793.05750000005</v>
      </c>
      <c r="K22" s="55">
        <f t="shared" si="28"/>
        <v>259461.96412499997</v>
      </c>
      <c r="L22" s="55">
        <f>SUM(G22:K22)</f>
        <v>1734916.171625</v>
      </c>
    </row>
    <row r="23" spans="1:12" ht="12.75" x14ac:dyDescent="0.25">
      <c r="C23" s="57">
        <f>SUM(C6:C22)</f>
        <v>18</v>
      </c>
    </row>
  </sheetData>
  <mergeCells count="3">
    <mergeCell ref="B2:L2"/>
    <mergeCell ref="E4:F4"/>
    <mergeCell ref="G4:L4"/>
  </mergeCells>
  <pageMargins left="0.70866141732283472" right="0.70866141732283472" top="0.74803149606299213" bottom="0.74803149606299213" header="0.31496062992125984" footer="0.31496062992125984"/>
  <pageSetup paperSize="9" scale="63" fitToHeight="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CA1E0EB8DBE14E478B9F79351B2BAF70" ma:contentTypeVersion="0" ma:contentTypeDescription="A content type to manage public (operations) IDB documents" ma:contentTypeScope="" ma:versionID="0683b9cc4c675f7d9c5a49168b20a70a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b8b222a5f0b75ad5f19cc3b3d192848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4ff23e-f1e5-4a3c-b68a-ce854a860959}" ma:internalName="TaxCatchAll" ma:showField="CatchAllData" ma:web="8406cd95-6dfb-42d9-a406-1a1910b5fe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4ff23e-f1e5-4a3c-b68a-ce854a860959}" ma:internalName="TaxCatchAllLabel" ma:readOnly="true" ma:showField="CatchAllDataLabel" ma:web="8406cd95-6dfb-42d9-a406-1a1910b5fe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40337546</IDBDocs_x0020_Number>
    <TaxCatchAll xmlns="9c571b2f-e523-4ab2-ba2e-09e151a03ef4">
      <Value>4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INE/WSA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Garzonio, Omar Dario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BO-L1118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ANNEX</Identifier>
    <Disclosure_x0020_Activity xmlns="9c571b2f-e523-4ab2-ba2e-09e151a03ef4">Loan Proposal</Disclosure_x0020_Activity>
    <Webtopic xmlns="9c571b2f-e523-4ab2-ba2e-09e151a03ef4">OS-ASA</Webtopic>
    <Publishing_x0020_House xmlns="9c571b2f-e523-4ab2-ba2e-09e151a03ef4" xsi:nil="true"/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F6C34BA5-3403-46D8-9E33-D3C045BA8D2D}"/>
</file>

<file path=customXml/itemProps2.xml><?xml version="1.0" encoding="utf-8"?>
<ds:datastoreItem xmlns:ds="http://schemas.openxmlformats.org/officeDocument/2006/customXml" ds:itemID="{CD0BE192-A58C-4BA4-A1C6-9D574D937D86}"/>
</file>

<file path=customXml/itemProps3.xml><?xml version="1.0" encoding="utf-8"?>
<ds:datastoreItem xmlns:ds="http://schemas.openxmlformats.org/officeDocument/2006/customXml" ds:itemID="{00773FAF-9D70-43E8-86ED-E019661E1227}"/>
</file>

<file path=customXml/itemProps4.xml><?xml version="1.0" encoding="utf-8"?>
<ds:datastoreItem xmlns:ds="http://schemas.openxmlformats.org/officeDocument/2006/customXml" ds:itemID="{7F380ABE-5E2B-480C-B321-6BDC70F4AD9B}"/>
</file>

<file path=customXml/itemProps5.xml><?xml version="1.0" encoding="utf-8"?>
<ds:datastoreItem xmlns:ds="http://schemas.openxmlformats.org/officeDocument/2006/customXml" ds:itemID="{151DB096-CE92-4B5F-99AC-9BCACFADCE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Resumen</vt:lpstr>
      <vt:lpstr>Componentes</vt:lpstr>
      <vt:lpstr>Administración_ME_Auditoria</vt:lpstr>
      <vt:lpstr>Costos RRHH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EEO_8 - Cuadro de Costos del Programa y Fuentes de Financiamiento</dc:title>
  <dc:creator>Patricia</dc:creator>
  <cp:lastModifiedBy>Inter-American Development Bank</cp:lastModifiedBy>
  <cp:lastPrinted>2015-07-13T13:21:08Z</cp:lastPrinted>
  <dcterms:created xsi:type="dcterms:W3CDTF">2013-10-30T13:45:04Z</dcterms:created>
  <dcterms:modified xsi:type="dcterms:W3CDTF">2016-06-11T00:15:32Z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0x01010046CF21643EE8D14686A648AA6DAD089200CA1E0EB8DBE14E478B9F79351B2BAF70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