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11760"/>
  </bookViews>
  <sheets>
    <sheet name="Megaproyecto Caminos - Resumen" sheetId="1" r:id="rId1"/>
    <sheet name="Detalle Caminos" sheetId="2" r:id="rId2"/>
    <sheet name="Megaproyeto PUENTES - resumen" sheetId="4" r:id="rId3"/>
    <sheet name="Detalle Puentes" sheetId="5" r:id="rId4"/>
    <sheet name="Megaproyecto Mantenimiento" sheetId="6" r:id="rId5"/>
    <sheet name="Resumen Pytos. Ejecución" sheetId="3" r:id="rId6"/>
  </sheets>
  <externalReferences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G24" i="1" l="1"/>
  <c r="G19" i="6" l="1"/>
  <c r="G18" i="6"/>
  <c r="G21" i="4"/>
  <c r="G22" i="4" s="1"/>
  <c r="G20" i="4"/>
  <c r="N14" i="6"/>
  <c r="H14" i="6"/>
  <c r="O14" i="6" s="1"/>
  <c r="O15" i="6" s="1"/>
  <c r="H11" i="6"/>
  <c r="M11" i="6" s="1"/>
  <c r="K10" i="6"/>
  <c r="J10" i="6"/>
  <c r="L9" i="6"/>
  <c r="H9" i="6"/>
  <c r="H15" i="6" s="1"/>
  <c r="G9" i="6"/>
  <c r="G15" i="6" s="1"/>
  <c r="G17" i="6" s="1"/>
  <c r="M8" i="6"/>
  <c r="L8" i="6"/>
  <c r="K8" i="6"/>
  <c r="J8" i="6"/>
  <c r="J15" i="6" s="1"/>
  <c r="G8" i="6"/>
  <c r="L16" i="4"/>
  <c r="T9" i="4"/>
  <c r="R16" i="4"/>
  <c r="R15" i="4"/>
  <c r="R14" i="4"/>
  <c r="R13" i="4"/>
  <c r="T13" i="4" s="1"/>
  <c r="P16" i="4"/>
  <c r="P15" i="4"/>
  <c r="P14" i="4"/>
  <c r="P13" i="4"/>
  <c r="N16" i="4"/>
  <c r="N15" i="4"/>
  <c r="T15" i="4" s="1"/>
  <c r="N14" i="4"/>
  <c r="N13" i="4"/>
  <c r="N11" i="4"/>
  <c r="L14" i="4"/>
  <c r="T14" i="4" s="1"/>
  <c r="L13" i="4"/>
  <c r="L11" i="4"/>
  <c r="L10" i="4"/>
  <c r="L9" i="4"/>
  <c r="L8" i="4"/>
  <c r="J11" i="4"/>
  <c r="T11" i="4" s="1"/>
  <c r="J10" i="4"/>
  <c r="T10" i="4" s="1"/>
  <c r="J9" i="4"/>
  <c r="J8" i="4"/>
  <c r="J17" i="4" s="1"/>
  <c r="L20" i="1"/>
  <c r="M20" i="1"/>
  <c r="I19" i="1"/>
  <c r="H16" i="4"/>
  <c r="M16" i="4" s="1"/>
  <c r="C28" i="3"/>
  <c r="Q16" i="4"/>
  <c r="H15" i="4"/>
  <c r="Q15" i="4" s="1"/>
  <c r="D392" i="5"/>
  <c r="D384" i="5"/>
  <c r="D368" i="5"/>
  <c r="D354" i="5"/>
  <c r="D339" i="5"/>
  <c r="D326" i="5"/>
  <c r="D305" i="5"/>
  <c r="D287" i="5"/>
  <c r="D273" i="5"/>
  <c r="D247" i="5"/>
  <c r="D237" i="5"/>
  <c r="D226" i="5"/>
  <c r="D215" i="5"/>
  <c r="D422" i="5" s="1"/>
  <c r="D206" i="5"/>
  <c r="D195" i="5"/>
  <c r="D190" i="5"/>
  <c r="D186" i="5"/>
  <c r="D179" i="5"/>
  <c r="D175" i="5"/>
  <c r="D153" i="5"/>
  <c r="D145" i="5"/>
  <c r="D137" i="5"/>
  <c r="D132" i="5"/>
  <c r="D114" i="5"/>
  <c r="D103" i="5"/>
  <c r="D213" i="5" s="1"/>
  <c r="D97" i="5"/>
  <c r="D85" i="5"/>
  <c r="D74" i="5"/>
  <c r="D66" i="5"/>
  <c r="D65" i="5"/>
  <c r="D61" i="5"/>
  <c r="D58" i="5"/>
  <c r="D50" i="5"/>
  <c r="D45" i="5"/>
  <c r="D42" i="5"/>
  <c r="D39" i="5"/>
  <c r="D35" i="5"/>
  <c r="D56" i="5" s="1"/>
  <c r="D32" i="5"/>
  <c r="D33" i="5" s="1"/>
  <c r="D27" i="5"/>
  <c r="D24" i="5"/>
  <c r="D23" i="5"/>
  <c r="D20" i="5"/>
  <c r="D19" i="5"/>
  <c r="D18" i="5"/>
  <c r="D15" i="5"/>
  <c r="D10" i="5"/>
  <c r="O16" i="4"/>
  <c r="Q14" i="4"/>
  <c r="H14" i="4"/>
  <c r="S14" i="4" s="1"/>
  <c r="H13" i="4"/>
  <c r="M13" i="4" s="1"/>
  <c r="Q12" i="4"/>
  <c r="O12" i="4"/>
  <c r="M12" i="4"/>
  <c r="U12" i="4" s="1"/>
  <c r="G12" i="4"/>
  <c r="G17" i="4" s="1"/>
  <c r="H11" i="4"/>
  <c r="K11" i="4" s="1"/>
  <c r="H10" i="4"/>
  <c r="K10" i="4" s="1"/>
  <c r="H9" i="4"/>
  <c r="M9" i="4" s="1"/>
  <c r="H8" i="4"/>
  <c r="M8" i="4" s="1"/>
  <c r="L11" i="6" l="1"/>
  <c r="L15" i="6" s="1"/>
  <c r="G20" i="6"/>
  <c r="M15" i="6"/>
  <c r="N11" i="6"/>
  <c r="N15" i="6" s="1"/>
  <c r="M9" i="6"/>
  <c r="K11" i="6"/>
  <c r="K15" i="6" s="1"/>
  <c r="U16" i="4"/>
  <c r="L12" i="4"/>
  <c r="N12" i="4"/>
  <c r="N17" i="4" s="1"/>
  <c r="R17" i="4"/>
  <c r="T8" i="4"/>
  <c r="L17" i="4"/>
  <c r="P12" i="4"/>
  <c r="P17" i="4" s="1"/>
  <c r="O14" i="4"/>
  <c r="T16" i="4"/>
  <c r="O15" i="4"/>
  <c r="K8" i="4"/>
  <c r="M14" i="4"/>
  <c r="U14" i="4" s="1"/>
  <c r="D30" i="5"/>
  <c r="S15" i="4"/>
  <c r="K9" i="4"/>
  <c r="U9" i="4" s="1"/>
  <c r="D72" i="5"/>
  <c r="D101" i="5"/>
  <c r="O11" i="4"/>
  <c r="M11" i="4"/>
  <c r="U11" i="4" s="1"/>
  <c r="M10" i="4"/>
  <c r="U10" i="4" s="1"/>
  <c r="S13" i="4"/>
  <c r="H17" i="4"/>
  <c r="Q13" i="4"/>
  <c r="Q17" i="4" s="1"/>
  <c r="O13" i="4"/>
  <c r="U13" i="4" s="1"/>
  <c r="S16" i="4"/>
  <c r="K17" i="4" l="1"/>
  <c r="U8" i="4"/>
  <c r="U15" i="4"/>
  <c r="T12" i="4"/>
  <c r="T17" i="4" s="1"/>
  <c r="M17" i="4"/>
  <c r="S17" i="4"/>
  <c r="O17" i="4"/>
  <c r="U17" i="4" l="1"/>
  <c r="C114" i="2"/>
  <c r="D114" i="2" s="1"/>
  <c r="G17" i="1" s="1"/>
  <c r="O17" i="1" s="1"/>
  <c r="D110" i="2"/>
  <c r="D90" i="2"/>
  <c r="C88" i="2"/>
  <c r="P17" i="1" l="1"/>
  <c r="K17" i="1"/>
  <c r="R17" i="1"/>
  <c r="S17" i="1" s="1"/>
  <c r="T17" i="1"/>
  <c r="U17" i="1" s="1"/>
  <c r="D142" i="2"/>
  <c r="C146" i="2"/>
  <c r="D134" i="2"/>
  <c r="D130" i="2"/>
  <c r="V17" i="1" l="1"/>
  <c r="Q17" i="1"/>
  <c r="W17" i="1" s="1"/>
  <c r="D146" i="2"/>
  <c r="G19" i="1" s="1"/>
  <c r="C128" i="2"/>
  <c r="K19" i="1" l="1"/>
  <c r="K20" i="1" s="1"/>
  <c r="C108" i="2"/>
  <c r="C93" i="2"/>
  <c r="D106" i="2"/>
  <c r="D104" i="2"/>
  <c r="D102" i="2"/>
  <c r="D100" i="2"/>
  <c r="D95" i="2"/>
  <c r="C98" i="2"/>
  <c r="D98" i="2" s="1"/>
  <c r="G15" i="1" s="1"/>
  <c r="R15" i="1" l="1"/>
  <c r="S15" i="1" s="1"/>
  <c r="T15" i="1"/>
  <c r="U15" i="1" s="1"/>
  <c r="O15" i="1"/>
  <c r="P15" i="1"/>
  <c r="K15" i="1"/>
  <c r="D108" i="2"/>
  <c r="G16" i="1" s="1"/>
  <c r="G26" i="1" s="1"/>
  <c r="D91" i="2"/>
  <c r="D72" i="2"/>
  <c r="D76" i="2"/>
  <c r="D47" i="2"/>
  <c r="V15" i="1" l="1"/>
  <c r="Q15" i="1"/>
  <c r="W15" i="1" s="1"/>
  <c r="T16" i="1"/>
  <c r="U16" i="1" s="1"/>
  <c r="K16" i="1"/>
  <c r="P16" i="1"/>
  <c r="Q16" i="1" s="1"/>
  <c r="R16" i="1"/>
  <c r="S16" i="1" s="1"/>
  <c r="C70" i="2"/>
  <c r="C27" i="2"/>
  <c r="C21" i="2"/>
  <c r="D62" i="2"/>
  <c r="P19" i="1" l="1"/>
  <c r="P20" i="1" s="1"/>
  <c r="T19" i="1"/>
  <c r="R19" i="1"/>
  <c r="W16" i="1"/>
  <c r="V16" i="1"/>
  <c r="D66" i="2"/>
  <c r="D82" i="2"/>
  <c r="D56" i="2"/>
  <c r="Q19" i="1" l="1"/>
  <c r="Q20" i="1" s="1"/>
  <c r="S19" i="1"/>
  <c r="S20" i="1" s="1"/>
  <c r="R20" i="1"/>
  <c r="N19" i="1"/>
  <c r="U19" i="1"/>
  <c r="U20" i="1" s="1"/>
  <c r="T20" i="1"/>
  <c r="D93" i="2"/>
  <c r="N20" i="1" l="1"/>
  <c r="O19" i="1"/>
  <c r="V19" i="1"/>
  <c r="V20" i="1" s="1"/>
  <c r="D59" i="2"/>
  <c r="D20" i="2"/>
  <c r="D18" i="2"/>
  <c r="D16" i="2"/>
  <c r="D14" i="2"/>
  <c r="O20" i="1" l="1"/>
  <c r="W19" i="1"/>
  <c r="W20" i="1" s="1"/>
  <c r="Z20" i="1" s="1"/>
  <c r="G14" i="1"/>
  <c r="D70" i="2"/>
  <c r="D21" i="2"/>
  <c r="G10" i="1" s="1"/>
  <c r="P10" i="1" l="1"/>
  <c r="Q10" i="1" s="1"/>
  <c r="N10" i="1"/>
  <c r="K10" i="1"/>
  <c r="L10" i="1"/>
  <c r="R14" i="1"/>
  <c r="S14" i="1" s="1"/>
  <c r="T14" i="1"/>
  <c r="U14" i="1" s="1"/>
  <c r="X14" i="1"/>
  <c r="Y14" i="1" s="1"/>
  <c r="P14" i="1"/>
  <c r="Q14" i="1" s="1"/>
  <c r="K14" i="1"/>
  <c r="G13" i="1"/>
  <c r="E70" i="2"/>
  <c r="G20" i="1"/>
  <c r="C37" i="2"/>
  <c r="D37" i="2" s="1"/>
  <c r="O10" i="1" l="1"/>
  <c r="K13" i="1"/>
  <c r="N13" i="1"/>
  <c r="P13" i="1"/>
  <c r="Q13" i="1" s="1"/>
  <c r="R13" i="1"/>
  <c r="T13" i="1"/>
  <c r="V10" i="1"/>
  <c r="M10" i="1"/>
  <c r="X18" i="1"/>
  <c r="Y18" i="1"/>
  <c r="V14" i="1"/>
  <c r="W14" i="1"/>
  <c r="C54" i="2"/>
  <c r="D29" i="2"/>
  <c r="D23" i="2"/>
  <c r="D27" i="2" s="1"/>
  <c r="G11" i="1" s="1"/>
  <c r="W10" i="1" l="1"/>
  <c r="K11" i="1"/>
  <c r="N11" i="1"/>
  <c r="P11" i="1"/>
  <c r="L11" i="1"/>
  <c r="O13" i="1"/>
  <c r="V13" i="1"/>
  <c r="R18" i="1"/>
  <c r="R22" i="1" s="1"/>
  <c r="S13" i="1"/>
  <c r="S18" i="1" s="1"/>
  <c r="S22" i="1" s="1"/>
  <c r="T18" i="1"/>
  <c r="T22" i="1" s="1"/>
  <c r="U13" i="1"/>
  <c r="U18" i="1" s="1"/>
  <c r="U22" i="1" s="1"/>
  <c r="Z14" i="1"/>
  <c r="D54" i="2"/>
  <c r="C11" i="2"/>
  <c r="O11" i="1" l="1"/>
  <c r="Q11" i="1"/>
  <c r="M11" i="1"/>
  <c r="V11" i="1"/>
  <c r="W13" i="1"/>
  <c r="D10" i="2"/>
  <c r="D12" i="2" s="1"/>
  <c r="G9" i="1" s="1"/>
  <c r="C12" i="2"/>
  <c r="G12" i="1"/>
  <c r="G25" i="1" l="1"/>
  <c r="G27" i="1" s="1"/>
  <c r="L12" i="1"/>
  <c r="N12" i="1"/>
  <c r="K12" i="1"/>
  <c r="P12" i="1"/>
  <c r="W11" i="1"/>
  <c r="K9" i="1"/>
  <c r="L9" i="1"/>
  <c r="G18" i="1"/>
  <c r="G22" i="1" s="1"/>
  <c r="H9" i="1"/>
  <c r="H14" i="1"/>
  <c r="H13" i="1"/>
  <c r="K18" i="1" l="1"/>
  <c r="K22" i="1" s="1"/>
  <c r="M9" i="1"/>
  <c r="L18" i="1"/>
  <c r="L22" i="1" s="1"/>
  <c r="V9" i="1"/>
  <c r="V12" i="1"/>
  <c r="M12" i="1"/>
  <c r="O12" i="1"/>
  <c r="O18" i="1" s="1"/>
  <c r="O22" i="1" s="1"/>
  <c r="N18" i="1"/>
  <c r="N22" i="1" s="1"/>
  <c r="Q12" i="1"/>
  <c r="Q18" i="1" s="1"/>
  <c r="Q22" i="1" s="1"/>
  <c r="P18" i="1"/>
  <c r="P22" i="1" s="1"/>
  <c r="H11" i="1"/>
  <c r="H18" i="1" s="1"/>
  <c r="W12" i="1" l="1"/>
  <c r="V18" i="1"/>
  <c r="V22" i="1" s="1"/>
  <c r="W9" i="1"/>
  <c r="M18" i="1"/>
  <c r="M22" i="1" s="1"/>
  <c r="W18" i="1" l="1"/>
  <c r="W22" i="1" s="1"/>
  <c r="Z18" i="1" l="1"/>
  <c r="Z22" i="1" s="1"/>
</calcChain>
</file>

<file path=xl/sharedStrings.xml><?xml version="1.0" encoding="utf-8"?>
<sst xmlns="http://schemas.openxmlformats.org/spreadsheetml/2006/main" count="814" uniqueCount="573">
  <si>
    <t>FINANCIAMIENTO</t>
  </si>
  <si>
    <t>MONTO ESTIMADO</t>
  </si>
  <si>
    <t>USD</t>
  </si>
  <si>
    <t>BID/OFID</t>
  </si>
  <si>
    <t>ALTO PARANA, ITAPUA, CANINDEYU, AMAMBAY</t>
  </si>
  <si>
    <t xml:space="preserve">PNCR II - FASE 2 </t>
  </si>
  <si>
    <t>CONCEPCION</t>
  </si>
  <si>
    <t>JICA</t>
  </si>
  <si>
    <t>GUAIRA, MISIONES, PARAGUARI</t>
  </si>
  <si>
    <t>REGION ORIENTAL</t>
  </si>
  <si>
    <t>REGIÓN OCCIDENTAL</t>
  </si>
  <si>
    <t>CAF</t>
  </si>
  <si>
    <t>DFI</t>
  </si>
  <si>
    <t>SÍ</t>
  </si>
  <si>
    <t>PROYECTO</t>
  </si>
  <si>
    <t>NUEVA OPERACIÓN</t>
  </si>
  <si>
    <t>Obras de la Muestra (BID)</t>
  </si>
  <si>
    <t>Tramos priorizados</t>
  </si>
  <si>
    <t>NO</t>
  </si>
  <si>
    <t>TOTAL PROYECTOS DEFINIDOS</t>
  </si>
  <si>
    <t>TOTAL PUNTOS CRÍTICOS</t>
  </si>
  <si>
    <t>Dirección de Caminos Vecinales</t>
  </si>
  <si>
    <t>MEGA PROYECTO DE CAMINOS VECINALES</t>
  </si>
  <si>
    <t>DEPARTAMENTOS</t>
  </si>
  <si>
    <t>DESCRIPCIÓN</t>
  </si>
  <si>
    <t>Dpto.</t>
  </si>
  <si>
    <t>Tramo</t>
  </si>
  <si>
    <t>Concepción</t>
  </si>
  <si>
    <t xml:space="preserve">Tramo 1: Concepción - Coé Porá - Jhuguá Rivas </t>
  </si>
  <si>
    <t xml:space="preserve">Tramo 2: Loreto - Empalme VI-402-b y Acceso a Culandrillo  </t>
  </si>
  <si>
    <t>2.06 Col.Iruña-Maestro Fermín-Emp.Ruta Frutika-Mayor Otaño</t>
  </si>
  <si>
    <t>1.07 Gra.Delgado-S.Dionisio-Cristo Rey-Potrero Ybate</t>
  </si>
  <si>
    <t>Itapua</t>
  </si>
  <si>
    <t xml:space="preserve">3.06 Supercarretera - Asentamiento Santa María - SECCIÓN 1 </t>
  </si>
  <si>
    <t>3.06 Supercarretera - Asentamiento Santa María - SECCIÓN 2</t>
  </si>
  <si>
    <t>5.02.1 Ruta 10 - Colonia Guadalupe</t>
  </si>
  <si>
    <t>5.02.2 Colonia Guadalupe - Camino 3</t>
  </si>
  <si>
    <t>6.06 Fortuna Guazú - Cabecerita</t>
  </si>
  <si>
    <t>Alto Paraná</t>
  </si>
  <si>
    <t>Canindeyu</t>
  </si>
  <si>
    <t>Amambay</t>
  </si>
  <si>
    <t>ORDEN</t>
  </si>
  <si>
    <t>LORETO – JHUGUA POI - PASO BARRETO</t>
  </si>
  <si>
    <t>COE PORA - COL. PRIMAVERA</t>
  </si>
  <si>
    <t>RUTA V – POTRERITO - COMPAÑÍA SAN FELIPE</t>
  </si>
  <si>
    <t>COL. J. S. MIRANDA - PASO BARRETO</t>
  </si>
  <si>
    <t>Paraguarí - Ñuatí Sur</t>
  </si>
  <si>
    <t>Ruta I- Ñuati Guazú Este</t>
  </si>
  <si>
    <t>Ñuatí- Juguá Poi(Ñuatí Oeste)</t>
  </si>
  <si>
    <t>Yaguarón - Guarapí Sur</t>
  </si>
  <si>
    <t>Paraguarí</t>
  </si>
  <si>
    <t>Villarrica - Cocuere Guazú Sur</t>
  </si>
  <si>
    <t>Felix Perez Cardozo - Cocuere Guazú</t>
  </si>
  <si>
    <t>Villarrica Norte - Cocuere Guazú</t>
  </si>
  <si>
    <t>Villarrica Norte - Tunu Tumi</t>
  </si>
  <si>
    <t>Felix Perez Cardozo - Protrero Benitez</t>
  </si>
  <si>
    <t>Ruta 8 (Tebicuary Costa) - Arroyo Mitay</t>
  </si>
  <si>
    <t>Guaira</t>
  </si>
  <si>
    <t>Santa Rosa - San Juan Bechmans</t>
  </si>
  <si>
    <t>Cerro Costa - San Juan Berchmaans</t>
  </si>
  <si>
    <t>Ruta 1 - Potrero San Antonio</t>
  </si>
  <si>
    <t>San Patricio - Santiago</t>
  </si>
  <si>
    <t>Misiones</t>
  </si>
  <si>
    <t>Cruce PY13 - 3 de Febrero -Colonias Unidas</t>
  </si>
  <si>
    <t>PY 13 - Tarumai - Carpa Cue - San Joaquín.</t>
  </si>
  <si>
    <t>Boquerón - San Francisco</t>
  </si>
  <si>
    <t>Yuty - San Miguel</t>
  </si>
  <si>
    <t>San Miguel - Yataity</t>
  </si>
  <si>
    <t>Yataity - San Francisco</t>
  </si>
  <si>
    <t>San Francisco - Buena Vista</t>
  </si>
  <si>
    <t>San Francisco - San Juan Nepomuceno</t>
  </si>
  <si>
    <t>Cruce Lima - Rio Tebicuary</t>
  </si>
  <si>
    <t>Lima - Quindy</t>
  </si>
  <si>
    <t>Quindy - Naranjito</t>
  </si>
  <si>
    <t>Carapegua-Aguaiy</t>
  </si>
  <si>
    <t>Carapegua-Aguaiy Oeste</t>
  </si>
  <si>
    <t>Roque G.-Simbron</t>
  </si>
  <si>
    <t>Villarrica Este-Potrerito</t>
  </si>
  <si>
    <t>Villarrica Esta-Mbopicua Este</t>
  </si>
  <si>
    <t>Villarrica Sureste-Emp.V40107</t>
  </si>
  <si>
    <t>Villarrica Sur-Punta Cupe-Emp.Ruta 8-Borja-San Salvador</t>
  </si>
  <si>
    <t>Villarrica -Caroveni Sur</t>
  </si>
  <si>
    <t>San Juan Bta.-Ita Yuru</t>
  </si>
  <si>
    <t>San Juan Bta-Isla Tobati</t>
  </si>
  <si>
    <t>San Juan Bta.-Ysypo-Ruta1</t>
  </si>
  <si>
    <t>Tañarandy-Resistencia-San Ignacio</t>
  </si>
  <si>
    <t>San Ignacio-Col.Uruguaya</t>
  </si>
  <si>
    <t>San Pablo - Estero Yetyty-Volendam</t>
  </si>
  <si>
    <t>Caaguazú</t>
  </si>
  <si>
    <t>Caazapa</t>
  </si>
  <si>
    <t>San Pedro</t>
  </si>
  <si>
    <t>Cocuere Guazu - Emp Villarrica-Felix Perez Cardozo</t>
  </si>
  <si>
    <t>Col. Independencia-Rio Tebicuarymi</t>
  </si>
  <si>
    <t>Villarrica Sur -Emp. V040119(Cñia Luca mi)</t>
  </si>
  <si>
    <t>Emp.V041717(Pikysyry)-San Marcos-Ciervo Cua</t>
  </si>
  <si>
    <t>Cruce Emp.V041714(Pikysyry)-Paso Yobai-San Agustin</t>
  </si>
  <si>
    <t>Sta Maria de Lourdes-San Juan Bta.</t>
  </si>
  <si>
    <t>Paso Naranja -Estancia Pombero Cua</t>
  </si>
  <si>
    <t>Emp.V080356-Tristan Zalazar 1</t>
  </si>
  <si>
    <t>Tañarandy-Ruta 1</t>
  </si>
  <si>
    <t>Emp.V080331-San Ignacio</t>
  </si>
  <si>
    <t>Ruta 1 - Aguaiy - Tajy Loma</t>
  </si>
  <si>
    <t>Ñeembucu</t>
  </si>
  <si>
    <t>Ruta Nª 3 - Cañada Costa Pucú - Pirapomi</t>
  </si>
  <si>
    <t xml:space="preserve">Ruta Alfaltada de Tobati - Oratorio 3 Reyes - Colonia 21 de julio </t>
  </si>
  <si>
    <t>Caaguazu</t>
  </si>
  <si>
    <t>TOTAL KM.
(por Dpto.)</t>
  </si>
  <si>
    <t>TOTAL PROYECTO 1</t>
  </si>
  <si>
    <t>TOTAL PROYECTO 2</t>
  </si>
  <si>
    <t>TOTAL PROYECTO 4</t>
  </si>
  <si>
    <t>TOTAL PROYECTO 5</t>
  </si>
  <si>
    <t>TOTAL PROYECTO 6</t>
  </si>
  <si>
    <t>TOTAL PROYECTO 7</t>
  </si>
  <si>
    <t>TOTAL PROYECTO 8</t>
  </si>
  <si>
    <t>TOTAL PROYECTO 9</t>
  </si>
  <si>
    <t>Pte. Hayes</t>
  </si>
  <si>
    <t>Alto Paraguay</t>
  </si>
  <si>
    <t>Boquerón</t>
  </si>
  <si>
    <t>TOTAL PROYECTO 10</t>
  </si>
  <si>
    <t>DETALLE DE LOS TRAMOS</t>
  </si>
  <si>
    <t>TOTAL MEGA PROYECTO DE CAMINOS VECINALES</t>
  </si>
  <si>
    <t>LONGITUD APROX. (Km)</t>
  </si>
  <si>
    <t>BID/AECID</t>
  </si>
  <si>
    <t>EMPALME V 080104 - SAN ANTONIO - SANTA MARIA</t>
  </si>
  <si>
    <t>FINANCIAMIENTO BID - NUEVA OPERACIÓN      (380 Km)</t>
  </si>
  <si>
    <t>ITAPUA</t>
  </si>
  <si>
    <t>Gral Resquin - San Vicente</t>
  </si>
  <si>
    <t>Barrio San Pedro - Luz Bella - Nueva Durango</t>
  </si>
  <si>
    <t>San Vicente - Maracana</t>
  </si>
  <si>
    <r>
      <t>155,45 Km. (Obras Muestra BM)
111,89 Km. (Canindeyu)
125,14 Km. (</t>
    </r>
    <r>
      <rPr>
        <sz val="10"/>
        <color rgb="FF000000"/>
        <rFont val="Calibri"/>
        <family val="2"/>
      </rPr>
      <t>Diseños San Pedro BM y FF Bonos</t>
    </r>
    <r>
      <rPr>
        <sz val="11"/>
        <color rgb="FF000000"/>
        <rFont val="Calibri"/>
        <family val="2"/>
      </rPr>
      <t>)</t>
    </r>
  </si>
  <si>
    <t xml:space="preserve">PROYECTO 1: PNCR II - BID 2163 /2164 </t>
  </si>
  <si>
    <t>PROYECTO 2: PNCR II - BID 2163/2164  - OFID</t>
  </si>
  <si>
    <t xml:space="preserve">TOTAL PROYECTO 3: </t>
  </si>
  <si>
    <t>PROYECTO 3: PNCR II - BID 2163/2164 - OFID</t>
  </si>
  <si>
    <t>PROYECTO 4: PNCR II - JICA</t>
  </si>
  <si>
    <t>PROYECTO 6 : Nueva Operación con la CAF en Gestion</t>
  </si>
  <si>
    <t>5.05 Col. Santa Clara - La Paloma ( DFI de la Muestra BID)</t>
  </si>
  <si>
    <t>Bella Vista Norte - Pastotil - Curusu Eva (DFI con Bonos 2014)</t>
  </si>
  <si>
    <t>Luz Bella-Manduara - Yasy Cañy ( DFI con Bonos 2014)</t>
  </si>
  <si>
    <t>Nueva Germania-Aº Ata-Tacuati (DFI con Bonos 2014)</t>
  </si>
  <si>
    <t>CRUCE LIBERACIÓN - COL. FELICIDAD - B° ALIANZA RIO CURUGUATY'Y (DFI con Bonos 2014)</t>
  </si>
  <si>
    <t>Ruta (Mbutuy - Capiibary) - Calle 1º de Marzo  - Mcal. Lopez (DFI con Bonos 2014)</t>
  </si>
  <si>
    <t>SANTA ROSA DEL MBUTY - SAN JOAQUIN</t>
  </si>
  <si>
    <t>Col. Fortuna – Col. Nueva Durango - Asent. Maracaná (DFI con el PNCR II)</t>
  </si>
  <si>
    <t>Ruta 10 - Araujo Cue (DFI con el PNCR II)</t>
  </si>
  <si>
    <t xml:space="preserve">Villa Ygatymi - Itanara mi - Koe Pora - asentamiento primavera - 8 de Diciembre </t>
  </si>
  <si>
    <t>81,88 Km. (Obras Muestra BM)
124,62 Km. (Diseños Excedentes JICA)
54,54 Km. (Diseños de Amambay)           115,00 Km. (diseños de San Pedro)           76,59 Km. (Diseños en Ñeembucu)</t>
  </si>
  <si>
    <t>SAN VICENTE - ARROYO ITANARA (DFI muestra BM)</t>
  </si>
  <si>
    <t>SI</t>
  </si>
  <si>
    <t>Pavimentacion de Caminos de Bajo Volumen de transito</t>
  </si>
  <si>
    <t>SAN PEDRO Y CANINDEYU</t>
  </si>
  <si>
    <t>42,00 Km. Gral. Resquin - San Vicente    38,00  km. Barrio San Perdo - Luz Bella Nva. Durango                                                               40,00 Km. San Vicente - Maracana</t>
  </si>
  <si>
    <t>BID</t>
  </si>
  <si>
    <t>PROYECTO 5 : Nueva Operación con el BID (PRL 1084)</t>
  </si>
  <si>
    <t>San Pedro/ Canindeyu</t>
  </si>
  <si>
    <t>La Paz - Jesus</t>
  </si>
  <si>
    <t>Gral. Artigas - Fram</t>
  </si>
  <si>
    <t>ALTO PARANA</t>
  </si>
  <si>
    <t>Cruce San Alberto  - San Francisco</t>
  </si>
  <si>
    <t>Itakyry - Col. Ykua Pora - rancho Alegre - Nueva Conquista - Ruta 10</t>
  </si>
  <si>
    <t>CORDILLERA</t>
  </si>
  <si>
    <t>Mejoramiento de Caminos Vecinales y Puentes en Areas Rurales</t>
  </si>
  <si>
    <t>Concepcion</t>
  </si>
  <si>
    <t>Coordillera</t>
  </si>
  <si>
    <t>Paraguari</t>
  </si>
  <si>
    <t>Alto parana</t>
  </si>
  <si>
    <t>Longitud del Tramo  Km/ml</t>
  </si>
  <si>
    <t>Departamentos de la Region Oriental</t>
  </si>
  <si>
    <t xml:space="preserve">1.1: Ruta Nº 9 (Km. 318) - Nueva Mestre - Distrito de Villa Hayes </t>
  </si>
  <si>
    <t>2.1: Ruta Nº 12 Entre el Km. 240 al Km. 350</t>
  </si>
  <si>
    <t>2.2: Cruce Pioneros - Campo Aceval (Ruta de la Leche y Ramales)</t>
  </si>
  <si>
    <t xml:space="preserve">1.2: Ruta Nº 9 (Km. 340) – Salazar – Desvío a Colonia Ceibo </t>
  </si>
  <si>
    <t xml:space="preserve">3.1: Comisaria 65 (Desvío a Carmelo Peralta) - Carmelo Peralta </t>
  </si>
  <si>
    <t xml:space="preserve">3.2: Comisaria 65 (Desvío a Carmelo Peralta) - Toro Pampa </t>
  </si>
  <si>
    <t>3.3: Intersección Bioceánica (km 83) - Comisaría 65 (Desvío a Carmelo Peralta)</t>
  </si>
  <si>
    <t xml:space="preserve">3.4: Tramo 22 Paragro - Puerto Sastre </t>
  </si>
  <si>
    <t>3.5: Centinela (Desvio Km. 83) - Pto. Casado</t>
  </si>
  <si>
    <t xml:space="preserve">4.1: Linea 1: Bahia Negra - Linea 28 </t>
  </si>
  <si>
    <t xml:space="preserve">4.2: Toro Pompa - Bahia Negra </t>
  </si>
  <si>
    <t xml:space="preserve">4.3: Toro Pompa - Fuerte Oimpo </t>
  </si>
  <si>
    <t xml:space="preserve">5.1: Mcal. Estigarribia - Tte. Picco - 4 de Mayo </t>
  </si>
  <si>
    <t xml:space="preserve">6.1: Mcal. Estigarribia - Cruce don Silvio - Pozo Hondo (Picada 500) </t>
  </si>
  <si>
    <t>7.1: Infante Rivarola - Cruce Don Silvio - Cruce Pelicano (Picada Lobrego)</t>
  </si>
  <si>
    <t xml:space="preserve">7.2: Cruce San Antonio - Avalos Sanchez (Picada Jordan) </t>
  </si>
  <si>
    <t>Mejoramiento de la Transitabilidad de Caminos Vecinales en la Region Occidental</t>
  </si>
  <si>
    <t>Tramos Críticos  en  los Departamentos de Pte. Hayes, Boqueron y Alto Paraguay</t>
  </si>
  <si>
    <t>PROYECTO 8 : Nueva Operación con el BID PR-L-1092</t>
  </si>
  <si>
    <t>PROYECTO 7. Revision de Diseño para Pavimento de Caminos Rurales de Bajo transito</t>
  </si>
  <si>
    <t>Amambay/ Concepcion</t>
  </si>
  <si>
    <t>PROYECTO 9 : Tramos en DFI sin Financiamiento para obras (Puede ser Bonos Soberanos)</t>
  </si>
  <si>
    <t>Pilar - Boqueron  - Humaita (DFI con Bonos Soberanos)</t>
  </si>
  <si>
    <t>Humaita - Paso de Patria (DFI con Bonos Soberanos)</t>
  </si>
  <si>
    <t xml:space="preserve"> Isla Umbu - Mayor Martinez (DFI con Bonos Soberanos)</t>
  </si>
  <si>
    <t>Isla Umbu - Desmochados - Villalbin - Laureles</t>
  </si>
  <si>
    <t>PROYECTO 10 : Mejoramiento de Caminos Vecinales y Puentes en Areas Rurales  mediante el Uso Intensivo de Mano de Obra Local en la Region Oriental</t>
  </si>
  <si>
    <t>PROYECTO 11: Mejoramiento de la Transitabilidad de Caminos Vecinales en la Region Occidental</t>
  </si>
  <si>
    <t>TOTAL PROYECTO 11</t>
  </si>
  <si>
    <t>REGION ORIENTAL - DEPARTAMENTO DE ÑEEMBUCU</t>
  </si>
  <si>
    <t>175,29 Km. Ñeembucu</t>
  </si>
  <si>
    <t>Programa Nacional de Caminos Rurales, 2da. Etapa - Fase II (PNCR II) - PR-L1019</t>
  </si>
  <si>
    <t>Extensión de 1150 Km. de caminos vecinales de la red prioritaria rehabilitados con un nivel de servicio que asegure condiciones de transitabilidad permanente, seguridad vial adecuada y medidas de mitigación ambiental</t>
  </si>
  <si>
    <t>Rehabilitación y/o reemplazo  de 2300 metros lineales de puentes de madera ya deteriorados por puentes de H°A°</t>
  </si>
  <si>
    <t>Extensión de 4.800 Km. de caminos vecinales de la red prioritaria bajo Mantenimiento (por convenios, por contratos, con  CMV, por administración directa)</t>
  </si>
  <si>
    <t>Extensión de 30 Centros Urbanos con Pavimento tipo empedrado</t>
  </si>
  <si>
    <t>Intervencion en 10 departamentos de la region oriental determinados a travez de planes viales participativos: Concepcion, Cordillera, Guaira, Itapua, Misiones, Paraguari, Alto Parana, Ñeembucu, Amambay y Canindeyu.</t>
  </si>
  <si>
    <t>Dos (2) Gerencias Viales creadas y funcionando en el ámbito de las Asociaciones de Municipios</t>
  </si>
  <si>
    <t>25 Cuadrillas de Mantenimiento Vial (CMV) creadas y trabajando en el ámbito del Programa</t>
  </si>
  <si>
    <t>13 Planes Viales Participativos aprobados</t>
  </si>
  <si>
    <t>13 Informes de capacidad institucional y financiera de los Departamentos de la Región Oriental en apoyo a los procesos de descentralización</t>
  </si>
  <si>
    <t>DESCRIPCIÓN COMPONENTES-PRODUCTOS</t>
  </si>
  <si>
    <t>Programa de Mejora de Caminos Vecinales, Región Oriental</t>
  </si>
  <si>
    <t>BID: 65,6
OFID: 29
JICA: 50
LOCAL: 25,4</t>
  </si>
  <si>
    <t>FINANCIAMIENTO 
(MILLONES DE USD)</t>
  </si>
  <si>
    <t>TOTAL PROGRAMA (USD)</t>
  </si>
  <si>
    <t>BID: 50
F. CHINO: 50
AECID: 25</t>
  </si>
  <si>
    <t>Intervención de caminos rurales en los departamentos de Caaguazú, Caazapá, San Pedro y Canindeyu. La intervención en puentes abarca los 13 departamentos de la Región Oriental (exluído Central)</t>
  </si>
  <si>
    <t>Mejoramiento de aproximadamente 400 Km de caminos principales priorizados.</t>
  </si>
  <si>
    <t>Mantenimiento rutinario de aproximadamente 450 Km.</t>
  </si>
  <si>
    <t>Reemplazo de aproximadamente 1.900 metros de pequeños puentes de madera por puentes de hormigón armado.</t>
  </si>
  <si>
    <t>Ingeniería, fiscalización, evaluación y administración Comprende la elaboración de proyectos de ingeniería, la fiscalización de la ejecución de las obras, las actividades de monitoreo del programa, la administración del programa y la auditoría financiera del mismo</t>
  </si>
  <si>
    <t>Mitigación Ambiental y Social. Comprende los servicios ambientales y el Plan de Gestión Socio Ambiental</t>
  </si>
  <si>
    <t>CAF: 50
LOCAL: 21,8</t>
  </si>
  <si>
    <t>La intervención en puentes abarca los 13 departamentos de la Región Oriental (exluído Central)</t>
  </si>
  <si>
    <t>Mejoramiento de puentes en áreas rurales mediante el uso intensivo de Mano de Obra Local, Región Oriental. CAF</t>
  </si>
  <si>
    <t>El componente vial consiste en el mejoramiento de caminos vecinales y la sustitución de 110 puentes de madera por otros de hormigón armado, incluyendo acciones de mejoras en el drenaje y topografía del terreno.</t>
  </si>
  <si>
    <t>El componente social consiste en caracterizar e identificar a las familias que puedan ser beneficiadas con el Proyecto (generación de empleo) a través de un proceso de identificación, monitoreo y evaluación de familias en situación de pobreza extrema.</t>
  </si>
  <si>
    <t>MEGA PROYECTO 1 - PUENTES DE Hº Aº</t>
  </si>
  <si>
    <t>LONGITUD APROX. (Ml)</t>
  </si>
  <si>
    <t>MONTO ESTIMADO
USD</t>
  </si>
  <si>
    <t>SITUACIÓN / OBSERVACIÓN</t>
  </si>
  <si>
    <t>AÑO 2014</t>
  </si>
  <si>
    <t>AÑO 2015</t>
  </si>
  <si>
    <t>AÑO 2016</t>
  </si>
  <si>
    <t>AÑO 2017</t>
  </si>
  <si>
    <t>AÑO 2018</t>
  </si>
  <si>
    <t>BID/OFID/ Fondo Local</t>
  </si>
  <si>
    <t>PNCR2-II. Puente JEJUI con 2 Aliviaderos</t>
  </si>
  <si>
    <t>En etapa de ejecución de obras aprox. 85%</t>
  </si>
  <si>
    <t>PNCR2-II. 1ra. Tanda de Puentes</t>
  </si>
  <si>
    <t>Mayormente con RECEPCIÓN PROVISORIA</t>
  </si>
  <si>
    <t>PNCR2-II. 2da. Tanda de Puentes</t>
  </si>
  <si>
    <t>En etapa de ejecución de obras aprox. 68%</t>
  </si>
  <si>
    <t>PNCR2-II. 3ra. Tanda de Puentes</t>
  </si>
  <si>
    <t>En etapa de ejecución de obras aprox. 10%</t>
  </si>
  <si>
    <t>Mejoramiento en áreas Rurales</t>
  </si>
  <si>
    <t>Nueva Operación</t>
  </si>
  <si>
    <t>Elaboración del Perfil del Proyecto</t>
  </si>
  <si>
    <t>Región Oriental / Occidental</t>
  </si>
  <si>
    <t>MEGA PROYECTO 1 DE PUENTES DE Hº Aº</t>
  </si>
  <si>
    <t>Long m</t>
  </si>
  <si>
    <t>Totales Ml</t>
  </si>
  <si>
    <t>Proyecto 1. Puentes</t>
  </si>
  <si>
    <t>Ruta 10 - Col. Sta. Clara
Aº Gasory</t>
  </si>
  <si>
    <t>Ruta 10 (Katuete)-La Bolsa-San Juan
Rio Carapa</t>
  </si>
  <si>
    <t>Curuguaty - Villa Ygatimi
Aº Curuguaty y</t>
  </si>
  <si>
    <t>Curuguaty - Villa Ygatimi
Rio Jejui Guazu</t>
  </si>
  <si>
    <t>Curuguaty - Villa Ygatimi
Rio Jejui mi</t>
  </si>
  <si>
    <t>Sta Rosa del Aguaray-Sta Barbara
Aº Mborevi</t>
  </si>
  <si>
    <t>Sta Rosa del Aguaray-Sta Barbara
Aliviadero 1 Aº Mborevi</t>
  </si>
  <si>
    <t>Sta Rosa del Aguaray-Sta Barbara
Aliviadero 2 Aº Mborevi</t>
  </si>
  <si>
    <t>Alto Parana</t>
  </si>
  <si>
    <t>Pto. Paranambu - Asent. 8 de diciembre
Aº Yarara</t>
  </si>
  <si>
    <t>Hohenau-Emp. Ruta Obligado-Jesús
Aº Capiibary</t>
  </si>
  <si>
    <t>Yabebyry - Laureles
Aº Pira Guazu</t>
  </si>
  <si>
    <t>Yabebyry - Ayolas
Aº Yabebyry</t>
  </si>
  <si>
    <t>San Juan - Cruce Ybyraty - Ruta 4
Aº Aguaray</t>
  </si>
  <si>
    <t>Isla Umbu-Humaita
Aº Hondo</t>
  </si>
  <si>
    <t>Iturbe-La Colmena 
Aliviadero 1.Rio Tebicuary mi</t>
  </si>
  <si>
    <t>Iturbe-La Colmena
Aliviadero 2. Rio Tebicuary mi</t>
  </si>
  <si>
    <t>Natalicio Talavera - Dr. Botrell
Aliviadero.Rio Tebicuary mi</t>
  </si>
  <si>
    <t>Quiindy-Acahay
Aº Tobatingua</t>
  </si>
  <si>
    <t>Quyquyho-Mbuyapey
Aº Mbuyapey(Paso Naranja)</t>
  </si>
  <si>
    <t>Quyquyho-Mbuyapey
Aliv. Aº Mbuyapey(Paso Naranja)</t>
  </si>
  <si>
    <t>TOTAL Proyecto 1. Puentes</t>
  </si>
  <si>
    <t>Proyecto 2. Puentes</t>
  </si>
  <si>
    <t>San Pablo Cocueré - Puerto Tajy</t>
  </si>
  <si>
    <t>TOTAL Proyecto 2. Puentes</t>
  </si>
  <si>
    <t>Proyecto 3. Puentes</t>
  </si>
  <si>
    <t>Itakyry - Rancho Alegre</t>
  </si>
  <si>
    <t>Hernandarias - Mcal. López</t>
  </si>
  <si>
    <t>Ruta 6 - Raúl Peña</t>
  </si>
  <si>
    <t>Cerro Largo - F.R. Moreno</t>
  </si>
  <si>
    <t>Colonia Montanaro - Calle 14</t>
  </si>
  <si>
    <t>Calle 16 - R. I. 3 Corrales</t>
  </si>
  <si>
    <t>Ruta 7 - Guavirá</t>
  </si>
  <si>
    <t>Vaquería - Colonia Mcal. López</t>
  </si>
  <si>
    <t>Yuquyry - 6ta. Línea - Sto. Domingo</t>
  </si>
  <si>
    <t>Yuquyry - Remanso - San Jorge</t>
  </si>
  <si>
    <t>Carayao - Asentamiento 24.000</t>
  </si>
  <si>
    <t>Capillita - Tte. Morales - Cerro Cora</t>
  </si>
  <si>
    <t>San José - Caballero</t>
  </si>
  <si>
    <t>Capillita - Sta. Librada</t>
  </si>
  <si>
    <t>A° Hondo - Humaita</t>
  </si>
  <si>
    <t>Isla Umbu - Mayor Martinez</t>
  </si>
  <si>
    <t>San Juan del Ñeembucu - Pilar</t>
  </si>
  <si>
    <t>TOTAL Proyecto 3. Puentes</t>
  </si>
  <si>
    <t>Proyecto 4. Puentes</t>
  </si>
  <si>
    <t>Paso Barreto - Cruce X</t>
  </si>
  <si>
    <t>Ruta 5 - Paso Mbutu</t>
  </si>
  <si>
    <t>Amambay - Concepcion</t>
  </si>
  <si>
    <t>Col. Jorge S. Miranda - Col. Jose F. Lopez</t>
  </si>
  <si>
    <t>Bella Vista - Chacalalina</t>
  </si>
  <si>
    <t>Villa del Rosario - Volendam</t>
  </si>
  <si>
    <t>San Solano - Potrero Benitez</t>
  </si>
  <si>
    <t>Santa Maria - San Pedro</t>
  </si>
  <si>
    <t>TOTAL Proyecto 4. Puentes</t>
  </si>
  <si>
    <t>Proyecto 5. Puentes</t>
  </si>
  <si>
    <t>Ybycui - Quyquyho</t>
  </si>
  <si>
    <t>Ybycui - Paso Sabra - Caballero Punta</t>
  </si>
  <si>
    <t>Costa Irala Quiindy</t>
  </si>
  <si>
    <t>Costa Gaona - Bo Maria Auxiliadora</t>
  </si>
  <si>
    <t>Costa Irala - Ybycui</t>
  </si>
  <si>
    <t>Caapucu km 130 - Costa Irala</t>
  </si>
  <si>
    <t>Acahay - Costa Irala</t>
  </si>
  <si>
    <t>Mbuyapey - Iturbe</t>
  </si>
  <si>
    <t>Colonia Independencia - Paso Yobai</t>
  </si>
  <si>
    <t>Capitan Molas - Mbuyapey</t>
  </si>
  <si>
    <t>Yataity - Potrero Benegas</t>
  </si>
  <si>
    <t>Natalicio Talavera - Dr Botrell</t>
  </si>
  <si>
    <t>Cerro Punta - Primavera</t>
  </si>
  <si>
    <t xml:space="preserve">Paso Yobai - Repatriacion </t>
  </si>
  <si>
    <t>Mauricio J. Trocha - Paso Yobai</t>
  </si>
  <si>
    <t>Paso Yobai - Arroyo Moroti</t>
  </si>
  <si>
    <t>Planchada - Paso Yobai</t>
  </si>
  <si>
    <t>Col. Independencia - Cñia Pireka</t>
  </si>
  <si>
    <t>Yabebyry - Laureles</t>
  </si>
  <si>
    <t>Ycua Sati - Zapatero cue</t>
  </si>
  <si>
    <t>Fatima 1 - Sta. Teresa</t>
  </si>
  <si>
    <t>TOTAL Proyecto 5. Puentes</t>
  </si>
  <si>
    <t>Proyecto 6. Puentes</t>
  </si>
  <si>
    <t>Paso Barreto - Col. Jorge S. Miranda</t>
  </si>
  <si>
    <t>Loreto - Paso Barreto</t>
  </si>
  <si>
    <t>Paso Barreto - Puentesiño</t>
  </si>
  <si>
    <t>Puentesiño - San Carlos</t>
  </si>
  <si>
    <t>Mboi'y - Unión</t>
  </si>
  <si>
    <t>Bertoni 4000 - Marengo 2000</t>
  </si>
  <si>
    <t>Potrero Naranjo - Pavón Cue</t>
  </si>
  <si>
    <t>Desvío Belén - Puerto Yvapovo</t>
  </si>
  <si>
    <t>Vaca Yhu - Tacuruty</t>
  </si>
  <si>
    <t>Ruta 3 - Calle 2000</t>
  </si>
  <si>
    <t>Calle 26 de Febrero Este-Cabo Cue</t>
  </si>
  <si>
    <t>Calle 26 de Febrero Oeste</t>
  </si>
  <si>
    <t>11 de Setiembre - Chachi</t>
  </si>
  <si>
    <t>Calle San Isidro</t>
  </si>
  <si>
    <t>Calle 12 de Junio Este</t>
  </si>
  <si>
    <t>Calle 1º de Mayo- Calle 9 de Junio</t>
  </si>
  <si>
    <t>Sta Clara -Corrales</t>
  </si>
  <si>
    <t>Cordillera</t>
  </si>
  <si>
    <t>Valenzuela - Sapucai</t>
  </si>
  <si>
    <t>Piribebuy - Compa±ia Tape Guasu</t>
  </si>
  <si>
    <t>Atyra - Tobati (Compañia B. Caballero</t>
  </si>
  <si>
    <t>Valenzuela - Piribebuy (km 92)</t>
  </si>
  <si>
    <t>San Salvador - Iturbe</t>
  </si>
  <si>
    <t>Cñia Rincon -Costeada</t>
  </si>
  <si>
    <t>Col. Indep-Paso Yobai</t>
  </si>
  <si>
    <t>Desvio Pireka- Potrero del Carmen</t>
  </si>
  <si>
    <t>Ruta 8 - Capillita</t>
  </si>
  <si>
    <t>Nva Londres-La Pastora</t>
  </si>
  <si>
    <t>Tacua Cora -Capillita-Cruce Alto</t>
  </si>
  <si>
    <t>Boquerón - Buena Vista</t>
  </si>
  <si>
    <t>San Juan Nepomuceno - San Francisco</t>
  </si>
  <si>
    <t>Buena Vista-San Agustin-Caazapa</t>
  </si>
  <si>
    <t>San Francisco -Buena Vista</t>
  </si>
  <si>
    <t>Buena Vista- Col Yerovia</t>
  </si>
  <si>
    <t>Abai-Taruma-Tuna</t>
  </si>
  <si>
    <t>Col. Alegria-Lima</t>
  </si>
  <si>
    <t>-</t>
  </si>
  <si>
    <t>Yuty-San Miguel</t>
  </si>
  <si>
    <t>San Miguel -Yataity</t>
  </si>
  <si>
    <t>Yataity-San Francisco</t>
  </si>
  <si>
    <t>Cruce Lima-Rio Tebicuary</t>
  </si>
  <si>
    <t>Yatytay-Ruta 6</t>
  </si>
  <si>
    <t>Pirapey 47 - Asentamiento Ara Poty</t>
  </si>
  <si>
    <t>San Rafael 1 - San Lorenzo</t>
  </si>
  <si>
    <t>Costa Irala - Qui'indy</t>
  </si>
  <si>
    <t>Ruta I - Montiel Potrero</t>
  </si>
  <si>
    <t>Ybycui - Larroza</t>
  </si>
  <si>
    <t>Minga Guasu - Cedrales</t>
  </si>
  <si>
    <t>Minga Guasu - Asentamiento Triunfo</t>
  </si>
  <si>
    <t>Hernandaria-Minga Guazu</t>
  </si>
  <si>
    <t>Isla Umbu - Humaita</t>
  </si>
  <si>
    <t>Arroyo Hondo - Humaita</t>
  </si>
  <si>
    <t>Humaita - Paso de Patria</t>
  </si>
  <si>
    <t>Villa Franca- San Fernando-Pilar</t>
  </si>
  <si>
    <t>Cap. Bado-CerroTorin</t>
  </si>
  <si>
    <t>Lorito Picada-Ypyta</t>
  </si>
  <si>
    <t>Colonia Sta Clara-Ex Reserva</t>
  </si>
  <si>
    <t>Naranjay - Col. Maria Auxiliadora</t>
  </si>
  <si>
    <t>Fortuna Guasu-Cerro Pero</t>
  </si>
  <si>
    <t>Comunidad Indigena - Acceso Ma. Aux.</t>
  </si>
  <si>
    <t>Corpus - Cristhi - Asent. Britez cue</t>
  </si>
  <si>
    <t>Ruta 10-Asent 1ºde Marzo</t>
  </si>
  <si>
    <t>Curuguaty - Nueva Durango</t>
  </si>
  <si>
    <t>Curuguaty - Araujo cue</t>
  </si>
  <si>
    <t>TOTAL Proyecto 6. Puentes</t>
  </si>
  <si>
    <t>Proyecto 7. Puentes</t>
  </si>
  <si>
    <t>Paso Barreto-Cruce X</t>
  </si>
  <si>
    <t>RUTA V KM 21 - LAS PALMAS</t>
  </si>
  <si>
    <t>CURUZU ÑU - ROBERTO L. PETIT</t>
  </si>
  <si>
    <t>COSTA PUCU - MBOCAYATY</t>
  </si>
  <si>
    <t>CONCEPCIÓN - MARIA AUXILIADORA</t>
  </si>
  <si>
    <t>RUTA V - CALLE 12 NORTE</t>
  </si>
  <si>
    <t>RUTA V - CALLE 9 NORTE</t>
  </si>
  <si>
    <t>RUTA V - CALLE 20 NORTE</t>
  </si>
  <si>
    <t>YBY YAU - COL. MEDALLA MILAGROSA</t>
  </si>
  <si>
    <t>Tacuati - Nva Germania</t>
  </si>
  <si>
    <t>Santa Rosa del Aguaray - Arroyo Atâ</t>
  </si>
  <si>
    <t>Calle Ma. Auxiliadora - Choré</t>
  </si>
  <si>
    <t>Primavera Real - Yrybucuá</t>
  </si>
  <si>
    <t>Costa Po'i - Toro Ñu - Compañía Costa Ykuá</t>
  </si>
  <si>
    <t>Calle S. Isidro Este-Paraguay Pyhaju-Amistad</t>
  </si>
  <si>
    <t>Ruta 3-Col. Felicidad</t>
  </si>
  <si>
    <t>Empalme Ruta 3 Guayaivity - Siraty</t>
  </si>
  <si>
    <t>Tovati - Potrerito (Empalme Ruta Arroyos y Esteros - 1° de Marzo)</t>
  </si>
  <si>
    <t>Tayu Cañada - Empalme Camino a Atyra - Empalme Ruta 2</t>
  </si>
  <si>
    <t>Itacuribi de la Cordillera - Isla Pucu</t>
  </si>
  <si>
    <t>Loma Jovy (Empalme Ruta Itacurubí - Valenzuela) - Cariloma (Empalme Ruta 2)</t>
  </si>
  <si>
    <t>Cerro Roke - Valenzuela</t>
  </si>
  <si>
    <t>Eusebio Ayala - Curupaity</t>
  </si>
  <si>
    <t>Emboscada - Gral. Genes</t>
  </si>
  <si>
    <t>Empalme Camino a Eusebio Ayala - Mompox Acosta Ñu</t>
  </si>
  <si>
    <t>LOMA BARRERO OESTE - EMPALME V041105</t>
  </si>
  <si>
    <t>MBOCAYATY - SANTA BARBARA NORESTE</t>
  </si>
  <si>
    <t>NATALICIO TALAVERA - EMPALME V041203</t>
  </si>
  <si>
    <t>CERRO PUNTA - RIO TEBICUARYMI</t>
  </si>
  <si>
    <t>PASO YOBAY - MANGRULLO</t>
  </si>
  <si>
    <t>EMPALME V040733 35 - EMPALME V040709</t>
  </si>
  <si>
    <t>COL. INDEPENDENCIA - SANTA CECILIA</t>
  </si>
  <si>
    <t>SANTA CECILIA - YROYSA 8VA LINEA ESTE</t>
  </si>
  <si>
    <t>DESVÍO PIRECA - POTRERO DEL CARMEN</t>
  </si>
  <si>
    <t>ITAPE - RUTA BOQUERON</t>
  </si>
  <si>
    <t>ITURBE - CAATYMI ESTE</t>
  </si>
  <si>
    <t>Pireka-Fasardi</t>
  </si>
  <si>
    <t>Cecilio Baez - Tacuaral - Comisaría Cue</t>
  </si>
  <si>
    <t>Coronel Oviedo - Olegario - Leiva´i</t>
  </si>
  <si>
    <t>Ruta 2 - Nueva Londres</t>
  </si>
  <si>
    <t>La Novia - Espinillo</t>
  </si>
  <si>
    <t>Calle 261 - Compañía Yhaca</t>
  </si>
  <si>
    <t>Ruta 2 - San José - Yhaca</t>
  </si>
  <si>
    <t>Mojón 7 - Guayaki Cua</t>
  </si>
  <si>
    <t>Camino 029 - Campo 9 - San Antonio</t>
  </si>
  <si>
    <t>Caazapá</t>
  </si>
  <si>
    <t>Abaí - Durazno - Cnia. Km 50</t>
  </si>
  <si>
    <t>Gral. Morínigo - San Antonio - Caazapá</t>
  </si>
  <si>
    <t>Ruta Nº8 - Caracaraí - San Miguel (Loteí)</t>
  </si>
  <si>
    <t>Desvío Loteí - Corralito</t>
  </si>
  <si>
    <t>Boqueron - Buena Vista</t>
  </si>
  <si>
    <t>Cruce Borda - San Agustin</t>
  </si>
  <si>
    <t>Santa María - Pindoyú</t>
  </si>
  <si>
    <t>Itapúa</t>
  </si>
  <si>
    <t>CENTRO URBANO LEANDRO OVIEDO - A EMPALME RUTA I</t>
  </si>
  <si>
    <t>CENTRO URBANO GENERAL ARTIGAS - EMPALME VIA 137</t>
  </si>
  <si>
    <t>ARTIGAS FRAM - EMPALME RUTA I</t>
  </si>
  <si>
    <t>UAZU YCUA - GRAL ARTIGAS</t>
  </si>
  <si>
    <t>EMPALME 121 - EMPALME 141</t>
  </si>
  <si>
    <t>LAPACHAL - RUTA VI</t>
  </si>
  <si>
    <t>SANTA LIBRADA - EMPALME 1607</t>
  </si>
  <si>
    <t>EDELIRA K65 - EDELIRA KM54</t>
  </si>
  <si>
    <t>EDELIRA - EDELIRA KM54</t>
  </si>
  <si>
    <t>RUTA VI - EMPALME 1617</t>
  </si>
  <si>
    <t>EMPALME 1710 - EMPALME 4005</t>
  </si>
  <si>
    <t>SAN RAFAEL - EMPALME 127</t>
  </si>
  <si>
    <t>ARASAPE - SANTO TOMAS</t>
  </si>
  <si>
    <t>COMPAÑÍA SAN PEDRO - YSYPO</t>
  </si>
  <si>
    <t>RUTA 1 - TAÑARANDY</t>
  </si>
  <si>
    <t>TAÑARANDY - EMPALME V080503</t>
  </si>
  <si>
    <t>RUTA 1 SAN BLAS - HECTOR CUE RUTA A SANTA MARIA</t>
  </si>
  <si>
    <t>SAN PATRICIO SANTA TERESA - CONCEPCION EMPALME V080503</t>
  </si>
  <si>
    <t>SAN ANTONIO - SAN FELIPE - SANTIAGO</t>
  </si>
  <si>
    <t>PANCHITO LOPEZ -EMPALME V081003</t>
  </si>
  <si>
    <t>AZCURRA ESTE - EMPALME V 090907</t>
  </si>
  <si>
    <t>COMANDO ARTILLERIA - MBATOVI NORTE</t>
  </si>
  <si>
    <t>SAPUCAI - GUAZU CUA</t>
  </si>
  <si>
    <t>ACAHAY - RUTA ACAHAY CARAPEGUA YEGUARIZO</t>
  </si>
  <si>
    <t>CAAPUCU - YAGARETECUA ESTE</t>
  </si>
  <si>
    <t>ARROYO PORA - GUAZU CUA</t>
  </si>
  <si>
    <t>RUTA 1 - ITAPE CURUCAO NORTE</t>
  </si>
  <si>
    <t>PIRAYU ESTE - EMPALME V090901</t>
  </si>
  <si>
    <t>COL. CAATIMIRI - ARROYO GUAZU</t>
  </si>
  <si>
    <t>ITAKYRY - COL ALEGRE</t>
  </si>
  <si>
    <t>SAN ANTONIO - CRISTO REY</t>
  </si>
  <si>
    <t>CAARENDY GUAZU - SANTA ROSA</t>
  </si>
  <si>
    <t>LOMA TAJY - VILLA SAN JUAN</t>
  </si>
  <si>
    <t>EMPALME 211 MBARACAYU - 3 DE MAYO</t>
  </si>
  <si>
    <t>EMPALME RUTA ANDE COL. MBARETE - EMP. RUTA VI</t>
  </si>
  <si>
    <t>Supercarretera-Fortuna-Rio Acaray</t>
  </si>
  <si>
    <t>CALLE 20 MONDAY</t>
  </si>
  <si>
    <t>Ñeembucú</t>
  </si>
  <si>
    <t xml:space="preserve"> Isla Umbu - Mayor Martinez</t>
  </si>
  <si>
    <t>Cerrito - Emp. Ruta Villabín - Laureles</t>
  </si>
  <si>
    <t>Cerrito - Tacuruty</t>
  </si>
  <si>
    <t>Cerrito - Isla Ro'y</t>
  </si>
  <si>
    <t>Humaitá - Tuyucué - Loma</t>
  </si>
  <si>
    <t>Pilar - Valle Apu'a - Potrero Pirú</t>
  </si>
  <si>
    <t>Ruta 5 - Cerro Corá</t>
  </si>
  <si>
    <t>Spence - Cerro Coraí - Amaro Cué</t>
  </si>
  <si>
    <t>Ruta Cap. Bado - Col. San Carlos</t>
  </si>
  <si>
    <t>Cap. Bado-San Fernando-Est. Lagunita-Lim Dep.</t>
  </si>
  <si>
    <t>Villa Ygatimi - San Marcos - Caaguy Pora - Americana Cue - Ypau - Itanara</t>
  </si>
  <si>
    <t>Villa Ygatimi - Col. 1º de Mayo - Karupera -Yvypyta</t>
  </si>
  <si>
    <t>Colonia Nueva Durango - 4 Encuadre - Colonia Luz Bella</t>
  </si>
  <si>
    <t>4a Linea Acepar</t>
  </si>
  <si>
    <t>3a Linea Acepar</t>
  </si>
  <si>
    <t>2a Linea Acepar</t>
  </si>
  <si>
    <t>Empalme Ruta 10 - Colonia Ybypyta - Britez Cue - Ybyrarobana - Empalme Ruta 10</t>
  </si>
  <si>
    <t>Corpus Christi - Cerro Pyta - Fortuna - Ybyrarobana</t>
  </si>
  <si>
    <t>Mareco Cue - Cerro Porteño - Santa Lucía</t>
  </si>
  <si>
    <t>Agricola Paraguay - Nueva Asunción</t>
  </si>
  <si>
    <t>Villa Ygatimi - Itanara mi - Koe pora - Asent. Primavera - 8 de Diciembre</t>
  </si>
  <si>
    <t>TOTAL Proyecto 7. Puentes</t>
  </si>
  <si>
    <t>Proyecto con aprobación en el BID y firmado - pendiente de aprobacion por el Parlamento - PR-L1084</t>
  </si>
  <si>
    <t>Programa de Mejora de Caminos Vecinales, Región Oriental y Occidental</t>
  </si>
  <si>
    <t>No</t>
  </si>
  <si>
    <t>En etapa de ejecución de obras -pàgo de anticipo a contratistas y de adjudicacion de la Fiscalizacion</t>
  </si>
  <si>
    <t>BID PR-L1084</t>
  </si>
  <si>
    <t>BID PR-L1092                     NUEVA OPERACIÓN en Gestion (Complemento de la PR-L1084)</t>
  </si>
  <si>
    <t>DFI con Bonos Soberanos y sin financiamiento para obras</t>
  </si>
  <si>
    <t>MEGAPROYECTO DE CAMINOS VECINALES - financiamiento externo                   PROYECTOS EN EJECUCIÓN y en gestion</t>
  </si>
  <si>
    <t>Programa de Mejora de Caminos Vecinales, Región Oriental         BID PR-L1084</t>
  </si>
  <si>
    <t>Programa de Mejora de Caminos Vecinales, Región Oriental         BID PR-L1092 (Complemento de la PR-L1084)</t>
  </si>
  <si>
    <t xml:space="preserve">BID: 62,5
</t>
  </si>
  <si>
    <t xml:space="preserve">Intervención de caminos rurales en los departamentos de Itapua, Alto Parana,Cordillera,  San Pedro y Canindeyu. La intervención en puentes abarca los  departamentos de la Región Oriental </t>
  </si>
  <si>
    <t>Mejoramiento de aproximadamente 200 Km de caminos principales priorizados, reemplazo de aproximadamente 1000 metros de puentes de madera, por puentes de Hormigon Armado y/o puentes de estructura metalica, mantenimiento rutinario de caminos vecinales y mitigacion social y ambiental.</t>
  </si>
  <si>
    <t>Mejoramiento de Caminos Vecinales y Puentes en la Region Oriental</t>
  </si>
  <si>
    <t xml:space="preserve">Intervención de caminos rurales en los departamentos de Caazapa, San Pedro,Misiones , Concepcion y Amambay. La intervención en puentes abarca los  departamentos de la Región Oriental </t>
  </si>
  <si>
    <r>
      <rPr>
        <b/>
        <sz val="10"/>
        <color theme="1"/>
        <rFont val="Calibri"/>
        <family val="2"/>
        <scheme val="minor"/>
      </rPr>
      <t>Componente 2</t>
    </r>
    <r>
      <rPr>
        <sz val="10"/>
        <color theme="1"/>
        <rFont val="Calibri"/>
        <family val="2"/>
        <scheme val="minor"/>
      </rPr>
      <t xml:space="preserve">. Servicios de Consultoría. Comprende (i) Diseño de puentes, (ii) Diseño final de caminos, (iii) auditoría, monitoreo y evaluación del programa, y (iv) administración del programa.
</t>
    </r>
    <r>
      <rPr>
        <b/>
        <sz val="10"/>
        <color theme="1"/>
        <rFont val="Calibri"/>
        <family val="2"/>
        <scheme val="minor"/>
      </rPr>
      <t>Componente 3</t>
    </r>
    <r>
      <rPr>
        <sz val="10"/>
        <color theme="1"/>
        <rFont val="Calibri"/>
        <family val="2"/>
        <scheme val="minor"/>
      </rPr>
      <t xml:space="preserve">. Mitigación Ambiental y Social. Comprende (i)  plan de gestión socio-ambiental
</t>
    </r>
  </si>
  <si>
    <r>
      <rPr>
        <b/>
        <sz val="10"/>
        <color theme="1"/>
        <rFont val="Calibri"/>
        <family val="2"/>
        <scheme val="minor"/>
      </rPr>
      <t>Componente 1</t>
    </r>
    <r>
      <rPr>
        <sz val="10"/>
        <color theme="1"/>
        <rFont val="Calibri"/>
        <family val="2"/>
        <scheme val="minor"/>
      </rPr>
      <t>.</t>
    </r>
    <r>
      <rPr>
        <sz val="12"/>
        <color theme="1"/>
        <rFont val="Arial Narrow"/>
        <family val="2"/>
      </rPr>
      <t xml:space="preserve"> Construcción de Obras Civiles. Comprende (i) el mejoramiento de aproximadamente 350 Km de caminos principales priorizados; (ii) gestión de mantenimiento rutinario de aproximadamente 350 Km; (iii) el reemplazo de aproximadamente 191 pequeños puentes de madera por puentes de hormigón armado y/o altenativas metalicas ( 2.200 metros lineales de puentes), y (iv) fiscalización técnica y ambiental de las obras.</t>
    </r>
  </si>
  <si>
    <t>DISEÑO</t>
  </si>
  <si>
    <t>CONSTRUCCIÓN</t>
  </si>
  <si>
    <t>COSTO USD (x Km.)</t>
  </si>
  <si>
    <t>TOTAL</t>
  </si>
  <si>
    <t>DISTRIBUCIÓN POR AÑO USD</t>
  </si>
  <si>
    <t>KM.</t>
  </si>
  <si>
    <t>Ml.</t>
  </si>
  <si>
    <t>Mision de Identificacion del BID                del 23 al 27/03/15, PR-L 1092        (Complemento del PR-l1084)</t>
  </si>
  <si>
    <t>MEGA PROYECTO 1 - MANTENIMIENTO DE CAMINOS VECINALES</t>
  </si>
  <si>
    <t xml:space="preserve">AÑO 2019 </t>
  </si>
  <si>
    <t>PNCR2-II. - Mantenimiento por contratos</t>
  </si>
  <si>
    <t>En Ejecucion</t>
  </si>
  <si>
    <t>PNCR2-II. - Mantenimiento por Convenios</t>
  </si>
  <si>
    <t>Local</t>
  </si>
  <si>
    <t>Transitabilidad de Caminos en la Region Occidental</t>
  </si>
  <si>
    <t>Sin Financiamiento</t>
  </si>
  <si>
    <t>Tramos Incluidos en la Emergencia Vial</t>
  </si>
  <si>
    <t>Programar Contratos Crema</t>
  </si>
  <si>
    <t>Si</t>
  </si>
  <si>
    <t>PR-1084- Mejoramiento de Caminos Vecinales</t>
  </si>
  <si>
    <t xml:space="preserve">a realizar mantenimiento rutinario </t>
  </si>
  <si>
    <t>PR-1092- Mejoramiento de Caminos Vecinales</t>
  </si>
  <si>
    <t>Nueva Operación- Mejoramiento de Caminos Vecinales</t>
  </si>
  <si>
    <t>TOTAL MEGA PROYECTO 1 - MANTENIMIENTO</t>
  </si>
  <si>
    <t>MEGA PROYECTO DE CAMINOS VECINALES - Mejoramiento de Caminos</t>
  </si>
  <si>
    <t>Ministerio de Obras Públicas y Comunicaciones</t>
  </si>
  <si>
    <t>PR-L1092</t>
  </si>
  <si>
    <t xml:space="preserve">Sin Financiamiento </t>
  </si>
  <si>
    <t>BID (en trámite)</t>
  </si>
  <si>
    <t>CAF / FONPLATA</t>
  </si>
  <si>
    <t>48,42 Km. Itapua
53,17 Km. Alto Parana
14,00 Km. Cordillera                                         70,62 Km. San Pedro/Canindeyu</t>
  </si>
  <si>
    <t>TOTAL MEGA PROYECTO DE PUENTES DE Hº Aº</t>
  </si>
  <si>
    <t>BID/AECID (PR-L1084)</t>
  </si>
  <si>
    <t>BID (PR-L1092)</t>
  </si>
  <si>
    <t>BID (En trámite)</t>
  </si>
  <si>
    <t>CAF / Fonplata</t>
  </si>
  <si>
    <t>Con Financiamiento (km)</t>
  </si>
  <si>
    <t>Sin Financiamiento (km)</t>
  </si>
  <si>
    <t>TOTAL (km)</t>
  </si>
  <si>
    <t>Sin Financiamiento (ml)</t>
  </si>
  <si>
    <t>Con Financiamiento (ml)</t>
  </si>
  <si>
    <t>TOTAL (ml)</t>
  </si>
  <si>
    <t>LONGITUD APROX. (km)</t>
  </si>
  <si>
    <t>EEO#8</t>
  </si>
  <si>
    <t>CAF: 100
Local (Fonplata): 42</t>
  </si>
  <si>
    <t>Participación (%) del Banco en kilómetros, respecto al total del Megaproyecto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</si>
</sst>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\-#,##0\ 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Algerian"/>
      <family val="5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Book Antiqua"/>
      <family val="1"/>
    </font>
    <font>
      <b/>
      <sz val="18"/>
      <color rgb="FF000000"/>
      <name val="Book Antiqua"/>
      <family val="1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59999389629810485"/>
        <bgColor rgb="FF000000"/>
      </patternFill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47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shrinkToFit="1" readingOrder="1"/>
    </xf>
    <xf numFmtId="0" fontId="8" fillId="0" borderId="0" xfId="0" applyFont="1"/>
    <xf numFmtId="0" fontId="0" fillId="0" borderId="8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/>
    <xf numFmtId="0" fontId="9" fillId="0" borderId="0" xfId="0" applyFont="1" applyBorder="1" applyAlignment="1">
      <alignment vertical="center" wrapText="1"/>
    </xf>
    <xf numFmtId="2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1" fillId="5" borderId="8" xfId="0" applyFont="1" applyFill="1" applyBorder="1" applyAlignment="1">
      <alignment horizontal="left" wrapText="1"/>
    </xf>
    <xf numFmtId="0" fontId="13" fillId="5" borderId="0" xfId="0" applyFont="1" applyFill="1" applyAlignment="1">
      <alignment vertical="center"/>
    </xf>
    <xf numFmtId="2" fontId="14" fillId="4" borderId="8" xfId="0" applyNumberFormat="1" applyFont="1" applyFill="1" applyBorder="1" applyAlignment="1">
      <alignment horizontal="center" vertical="center"/>
    </xf>
    <xf numFmtId="1" fontId="13" fillId="5" borderId="8" xfId="0" applyNumberFormat="1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vertical="center"/>
    </xf>
    <xf numFmtId="2" fontId="13" fillId="5" borderId="8" xfId="0" applyNumberFormat="1" applyFont="1" applyFill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1" fontId="10" fillId="5" borderId="8" xfId="0" applyNumberFormat="1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 readingOrder="1"/>
    </xf>
    <xf numFmtId="0" fontId="2" fillId="0" borderId="1" xfId="0" applyFont="1" applyBorder="1" applyAlignment="1">
      <alignment horizontal="center" vertical="center" wrapText="1" shrinkToFit="1" readingOrder="1"/>
    </xf>
    <xf numFmtId="0" fontId="0" fillId="5" borderId="0" xfId="0" applyFill="1"/>
    <xf numFmtId="0" fontId="17" fillId="5" borderId="0" xfId="0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 wrapText="1" readingOrder="1"/>
    </xf>
    <xf numFmtId="4" fontId="3" fillId="2" borderId="8" xfId="0" applyNumberFormat="1" applyFont="1" applyFill="1" applyBorder="1" applyAlignment="1">
      <alignment horizontal="center" vertical="center" wrapText="1" readingOrder="1"/>
    </xf>
    <xf numFmtId="3" fontId="3" fillId="3" borderId="8" xfId="0" applyNumberFormat="1" applyFont="1" applyFill="1" applyBorder="1" applyAlignment="1">
      <alignment horizontal="right" vertical="center" wrapText="1" readingOrder="1"/>
    </xf>
    <xf numFmtId="0" fontId="0" fillId="0" borderId="8" xfId="0" applyBorder="1"/>
    <xf numFmtId="0" fontId="14" fillId="5" borderId="8" xfId="0" applyFont="1" applyFill="1" applyBorder="1" applyAlignment="1">
      <alignment horizontal="left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2" fontId="13" fillId="5" borderId="8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8" xfId="0" applyFont="1" applyFill="1" applyBorder="1" applyAlignment="1">
      <alignment vertical="center"/>
    </xf>
    <xf numFmtId="2" fontId="13" fillId="0" borderId="8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0" xfId="0" applyFont="1"/>
    <xf numFmtId="0" fontId="13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3" fontId="2" fillId="0" borderId="29" xfId="0" applyNumberFormat="1" applyFont="1" applyBorder="1" applyAlignment="1">
      <alignment horizontal="center" vertical="center" wrapText="1" readingOrder="1"/>
    </xf>
    <xf numFmtId="3" fontId="2" fillId="0" borderId="11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horizontal="center" vertical="center" readingOrder="1"/>
    </xf>
    <xf numFmtId="3" fontId="0" fillId="0" borderId="11" xfId="0" applyNumberFormat="1" applyBorder="1" applyAlignment="1">
      <alignment horizontal="center" vertical="center" wrapText="1" readingOrder="1"/>
    </xf>
    <xf numFmtId="3" fontId="2" fillId="0" borderId="8" xfId="0" applyNumberFormat="1" applyFont="1" applyFill="1" applyBorder="1" applyAlignment="1">
      <alignment horizontal="center" vertical="center" wrapText="1" readingOrder="1"/>
    </xf>
    <xf numFmtId="3" fontId="0" fillId="0" borderId="8" xfId="0" applyNumberForma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shrinkToFi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Fill="1" applyBorder="1" applyAlignment="1">
      <alignment horizontal="center" vertical="center" wrapText="1" readingOrder="1"/>
    </xf>
    <xf numFmtId="3" fontId="0" fillId="0" borderId="8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28" xfId="0" applyFont="1" applyBorder="1" applyAlignment="1">
      <alignment horizontal="left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3" fontId="0" fillId="0" borderId="11" xfId="0" applyNumberForma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3" fontId="2" fillId="0" borderId="14" xfId="0" applyNumberFormat="1" applyFont="1" applyBorder="1" applyAlignment="1">
      <alignment horizontal="center" vertical="center" wrapText="1" readingOrder="1"/>
    </xf>
    <xf numFmtId="4" fontId="3" fillId="10" borderId="42" xfId="0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2" fillId="11" borderId="8" xfId="0" applyFont="1" applyFill="1" applyBorder="1" applyAlignment="1">
      <alignment vertical="center"/>
    </xf>
    <xf numFmtId="1" fontId="12" fillId="11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11" borderId="11" xfId="0" applyFont="1" applyFill="1" applyBorder="1" applyAlignment="1">
      <alignment vertical="center"/>
    </xf>
    <xf numFmtId="1" fontId="12" fillId="11" borderId="11" xfId="0" applyNumberFormat="1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vertical="center"/>
    </xf>
    <xf numFmtId="1" fontId="14" fillId="0" borderId="8" xfId="0" applyNumberFormat="1" applyFont="1" applyFill="1" applyBorder="1" applyAlignment="1">
      <alignment vertical="center"/>
    </xf>
    <xf numFmtId="2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5" borderId="8" xfId="2" applyFont="1" applyFill="1" applyBorder="1" applyAlignment="1">
      <alignment horizontal="left" vertical="center" wrapText="1"/>
    </xf>
    <xf numFmtId="0" fontId="14" fillId="4" borderId="8" xfId="2" applyFont="1" applyFill="1" applyBorder="1" applyAlignment="1">
      <alignment horizontal="left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4" fillId="0" borderId="8" xfId="2" applyFont="1" applyFill="1" applyBorder="1" applyAlignment="1">
      <alignment horizontal="left"/>
    </xf>
    <xf numFmtId="0" fontId="14" fillId="0" borderId="8" xfId="2" quotePrefix="1" applyFont="1" applyFill="1" applyBorder="1" applyAlignment="1">
      <alignment horizontal="left" vertical="center" wrapText="1"/>
    </xf>
    <xf numFmtId="0" fontId="14" fillId="5" borderId="8" xfId="2" quotePrefix="1" applyFont="1" applyFill="1" applyBorder="1" applyAlignment="1">
      <alignment horizontal="left" vertical="center" wrapText="1"/>
    </xf>
    <xf numFmtId="0" fontId="14" fillId="0" borderId="8" xfId="2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readingOrder="1"/>
    </xf>
    <xf numFmtId="3" fontId="2" fillId="0" borderId="8" xfId="0" applyNumberFormat="1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41" xfId="0" applyFont="1" applyBorder="1" applyAlignment="1">
      <alignment horizontal="left" vertical="center" wrapText="1" readingOrder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Fill="1" applyBorder="1" applyAlignment="1">
      <alignment horizontal="center" vertical="center" wrapText="1" readingOrder="1"/>
    </xf>
    <xf numFmtId="3" fontId="0" fillId="0" borderId="8" xfId="0" applyNumberFormat="1" applyBorder="1" applyAlignment="1">
      <alignment horizontal="center" vertical="center"/>
    </xf>
    <xf numFmtId="4" fontId="0" fillId="7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vertical="center"/>
    </xf>
    <xf numFmtId="3" fontId="0" fillId="2" borderId="1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readingOrder="1"/>
    </xf>
    <xf numFmtId="3" fontId="2" fillId="0" borderId="11" xfId="0" applyNumberFormat="1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6" borderId="0" xfId="0" applyNumberFormat="1" applyFill="1" applyAlignment="1"/>
    <xf numFmtId="4" fontId="0" fillId="5" borderId="0" xfId="0" applyNumberFormat="1" applyFill="1" applyAlignment="1">
      <alignment horizontal="center"/>
    </xf>
    <xf numFmtId="3" fontId="0" fillId="5" borderId="0" xfId="0" applyNumberFormat="1" applyFill="1" applyAlignment="1"/>
    <xf numFmtId="3" fontId="0" fillId="5" borderId="0" xfId="0" applyNumberFormat="1" applyFill="1"/>
    <xf numFmtId="3" fontId="0" fillId="12" borderId="0" xfId="0" applyNumberFormat="1" applyFill="1"/>
    <xf numFmtId="0" fontId="0" fillId="0" borderId="0" xfId="0" applyAlignment="1"/>
    <xf numFmtId="3" fontId="0" fillId="0" borderId="24" xfId="0" applyNumberFormat="1" applyBorder="1" applyAlignment="1">
      <alignment horizontal="center" vertical="center" wrapText="1" readingOrder="1"/>
    </xf>
    <xf numFmtId="3" fontId="0" fillId="0" borderId="14" xfId="0" applyNumberFormat="1" applyBorder="1" applyAlignment="1">
      <alignment horizontal="center" vertical="center" wrapText="1" readingOrder="1"/>
    </xf>
    <xf numFmtId="3" fontId="0" fillId="0" borderId="1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3" fillId="10" borderId="8" xfId="0" applyNumberFormat="1" applyFont="1" applyFill="1" applyBorder="1" applyAlignment="1">
      <alignment horizontal="center" vertical="center" wrapText="1" readingOrder="1"/>
    </xf>
    <xf numFmtId="3" fontId="3" fillId="0" borderId="52" xfId="0" applyNumberFormat="1" applyFont="1" applyFill="1" applyBorder="1" applyAlignment="1">
      <alignment horizontal="center" vertical="center" wrapText="1" readingOrder="1"/>
    </xf>
    <xf numFmtId="3" fontId="3" fillId="0" borderId="8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Fill="1"/>
    <xf numFmtId="3" fontId="3" fillId="5" borderId="8" xfId="0" applyNumberFormat="1" applyFont="1" applyFill="1" applyBorder="1" applyAlignment="1">
      <alignment horizontal="center" vertical="center" wrapText="1" readingOrder="1"/>
    </xf>
    <xf numFmtId="3" fontId="2" fillId="0" borderId="27" xfId="0" applyNumberFormat="1" applyFont="1" applyBorder="1" applyAlignment="1">
      <alignment horizontal="center" vertical="center" wrapText="1" readingOrder="1"/>
    </xf>
    <xf numFmtId="3" fontId="2" fillId="0" borderId="24" xfId="0" applyNumberFormat="1" applyFont="1" applyBorder="1" applyAlignment="1">
      <alignment horizontal="center" vertical="center" wrapText="1" readingOrder="1"/>
    </xf>
    <xf numFmtId="3" fontId="3" fillId="10" borderId="43" xfId="0" applyNumberFormat="1" applyFont="1" applyFill="1" applyBorder="1" applyAlignment="1">
      <alignment horizontal="center" vertical="center" wrapText="1" readingOrder="1"/>
    </xf>
    <xf numFmtId="3" fontId="2" fillId="0" borderId="9" xfId="0" applyNumberFormat="1" applyFont="1" applyFill="1" applyBorder="1" applyAlignment="1">
      <alignment horizontal="center" vertical="center" wrapText="1" readingOrder="1"/>
    </xf>
    <xf numFmtId="3" fontId="2" fillId="0" borderId="11" xfId="0" applyNumberFormat="1" applyFont="1" applyFill="1" applyBorder="1" applyAlignment="1">
      <alignment horizontal="center" vertical="center" wrapText="1" readingOrder="1"/>
    </xf>
    <xf numFmtId="2" fontId="13" fillId="0" borderId="36" xfId="0" applyNumberFormat="1" applyFont="1" applyBorder="1" applyAlignment="1">
      <alignment horizontal="center" vertical="center"/>
    </xf>
    <xf numFmtId="2" fontId="13" fillId="5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29" xfId="0" applyNumberFormat="1" applyFont="1" applyFill="1" applyBorder="1" applyAlignment="1">
      <alignment horizontal="center" vertical="center" wrapText="1" readingOrder="1"/>
    </xf>
    <xf numFmtId="3" fontId="23" fillId="0" borderId="8" xfId="0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65" fontId="2" fillId="0" borderId="11" xfId="3" applyNumberFormat="1" applyFont="1" applyBorder="1" applyAlignment="1">
      <alignment vertical="center" wrapText="1" readingOrder="1"/>
    </xf>
    <xf numFmtId="165" fontId="2" fillId="0" borderId="8" xfId="3" applyNumberFormat="1" applyFont="1" applyBorder="1" applyAlignment="1">
      <alignment vertical="center" wrapText="1" readingOrder="1"/>
    </xf>
    <xf numFmtId="165" fontId="2" fillId="5" borderId="8" xfId="3" applyNumberFormat="1" applyFont="1" applyFill="1" applyBorder="1" applyAlignment="1">
      <alignment vertical="center" wrapText="1" readingOrder="1"/>
    </xf>
    <xf numFmtId="165" fontId="0" fillId="5" borderId="8" xfId="3" applyNumberFormat="1" applyFont="1" applyFill="1" applyBorder="1" applyAlignment="1">
      <alignment vertical="center" readingOrder="1"/>
    </xf>
    <xf numFmtId="165" fontId="0" fillId="5" borderId="0" xfId="3" applyNumberFormat="1" applyFont="1" applyFill="1" applyAlignment="1">
      <alignment readingOrder="1"/>
    </xf>
    <xf numFmtId="43" fontId="0" fillId="0" borderId="0" xfId="3" applyFont="1" applyAlignment="1">
      <alignment horizontal="right"/>
    </xf>
    <xf numFmtId="43" fontId="0" fillId="0" borderId="0" xfId="3" applyFont="1"/>
    <xf numFmtId="43" fontId="2" fillId="7" borderId="8" xfId="3" applyFont="1" applyFill="1" applyBorder="1" applyAlignment="1">
      <alignment horizontal="center" vertical="center" wrapText="1" readingOrder="1"/>
    </xf>
    <xf numFmtId="43" fontId="3" fillId="2" borderId="8" xfId="3" applyFont="1" applyFill="1" applyBorder="1" applyAlignment="1">
      <alignment horizontal="center" vertical="center" wrapText="1" readingOrder="1"/>
    </xf>
    <xf numFmtId="43" fontId="3" fillId="12" borderId="8" xfId="3" applyFont="1" applyFill="1" applyBorder="1" applyAlignment="1">
      <alignment horizontal="center" vertical="center" wrapText="1" readingOrder="1"/>
    </xf>
    <xf numFmtId="165" fontId="0" fillId="5" borderId="11" xfId="3" applyNumberFormat="1" applyFont="1" applyFill="1" applyBorder="1" applyAlignment="1">
      <alignment vertical="center"/>
    </xf>
    <xf numFmtId="165" fontId="0" fillId="0" borderId="11" xfId="3" applyNumberFormat="1" applyFont="1" applyBorder="1" applyAlignment="1">
      <alignment horizontal="center" vertical="center"/>
    </xf>
    <xf numFmtId="165" fontId="0" fillId="5" borderId="11" xfId="3" applyNumberFormat="1" applyFont="1" applyFill="1" applyBorder="1" applyAlignment="1">
      <alignment horizontal="center" vertical="center"/>
    </xf>
    <xf numFmtId="165" fontId="0" fillId="5" borderId="8" xfId="3" applyNumberFormat="1" applyFont="1" applyFill="1" applyBorder="1" applyAlignment="1">
      <alignment vertical="center"/>
    </xf>
    <xf numFmtId="165" fontId="0" fillId="0" borderId="8" xfId="3" applyNumberFormat="1" applyFont="1" applyBorder="1" applyAlignment="1">
      <alignment horizontal="center" vertical="center"/>
    </xf>
    <xf numFmtId="165" fontId="0" fillId="5" borderId="8" xfId="3" applyNumberFormat="1" applyFont="1" applyFill="1" applyBorder="1" applyAlignment="1">
      <alignment horizontal="center" vertical="center"/>
    </xf>
    <xf numFmtId="165" fontId="0" fillId="2" borderId="8" xfId="3" applyNumberFormat="1" applyFont="1" applyFill="1" applyBorder="1" applyAlignment="1">
      <alignment horizontal="center"/>
    </xf>
    <xf numFmtId="165" fontId="0" fillId="2" borderId="8" xfId="3" applyNumberFormat="1" applyFont="1" applyFill="1" applyBorder="1" applyAlignment="1">
      <alignment horizontal="center" vertical="center"/>
    </xf>
    <xf numFmtId="165" fontId="0" fillId="12" borderId="8" xfId="3" applyNumberFormat="1" applyFont="1" applyFill="1" applyBorder="1"/>
    <xf numFmtId="165" fontId="0" fillId="12" borderId="8" xfId="3" applyNumberFormat="1" applyFont="1" applyFill="1" applyBorder="1" applyAlignment="1">
      <alignment horizontal="center"/>
    </xf>
    <xf numFmtId="165" fontId="1" fillId="15" borderId="20" xfId="3" applyNumberFormat="1" applyFont="1" applyFill="1" applyBorder="1" applyAlignment="1">
      <alignment horizontal="center" vertical="center" shrinkToFit="1" readingOrder="1"/>
    </xf>
    <xf numFmtId="165" fontId="1" fillId="15" borderId="16" xfId="3" applyNumberFormat="1" applyFont="1" applyFill="1" applyBorder="1" applyAlignment="1">
      <alignment horizontal="center" vertical="center" shrinkToFit="1" readingOrder="1"/>
    </xf>
    <xf numFmtId="165" fontId="1" fillId="15" borderId="31" xfId="3" applyNumberFormat="1" applyFont="1" applyFill="1" applyBorder="1" applyAlignment="1">
      <alignment horizontal="center" vertical="center" shrinkToFit="1" readingOrder="1"/>
    </xf>
    <xf numFmtId="43" fontId="0" fillId="0" borderId="9" xfId="3" applyFont="1" applyBorder="1"/>
    <xf numFmtId="0" fontId="0" fillId="0" borderId="9" xfId="0" applyBorder="1"/>
    <xf numFmtId="43" fontId="3" fillId="14" borderId="37" xfId="3" applyFont="1" applyFill="1" applyBorder="1" applyAlignment="1">
      <alignment horizontal="center" vertical="center" wrapText="1" readingOrder="1"/>
    </xf>
    <xf numFmtId="0" fontId="17" fillId="14" borderId="37" xfId="0" applyFont="1" applyFill="1" applyBorder="1"/>
    <xf numFmtId="3" fontId="17" fillId="14" borderId="37" xfId="0" applyNumberFormat="1" applyFont="1" applyFill="1" applyBorder="1" applyAlignment="1"/>
    <xf numFmtId="3" fontId="17" fillId="14" borderId="34" xfId="0" applyNumberFormat="1" applyFont="1" applyFill="1" applyBorder="1" applyAlignment="1"/>
    <xf numFmtId="43" fontId="3" fillId="7" borderId="8" xfId="3" applyFont="1" applyFill="1" applyBorder="1" applyAlignment="1">
      <alignment horizontal="center" vertical="center" wrapText="1" readingOrder="1"/>
    </xf>
    <xf numFmtId="165" fontId="17" fillId="0" borderId="11" xfId="3" applyNumberFormat="1" applyFont="1" applyBorder="1" applyAlignment="1">
      <alignment horizontal="center" vertical="center"/>
    </xf>
    <xf numFmtId="165" fontId="17" fillId="0" borderId="8" xfId="3" applyNumberFormat="1" applyFont="1" applyBorder="1" applyAlignment="1">
      <alignment horizontal="center" vertical="center"/>
    </xf>
    <xf numFmtId="165" fontId="17" fillId="2" borderId="8" xfId="3" applyNumberFormat="1" applyFont="1" applyFill="1" applyBorder="1" applyAlignment="1">
      <alignment horizontal="center" vertical="center"/>
    </xf>
    <xf numFmtId="165" fontId="17" fillId="12" borderId="8" xfId="3" applyNumberFormat="1" applyFont="1" applyFill="1" applyBorder="1" applyAlignment="1">
      <alignment horizontal="center"/>
    </xf>
    <xf numFmtId="165" fontId="17" fillId="12" borderId="8" xfId="3" applyNumberFormat="1" applyFont="1" applyFill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2" fontId="13" fillId="5" borderId="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0" fillId="0" borderId="0" xfId="0" applyFont="1"/>
    <xf numFmtId="0" fontId="2" fillId="8" borderId="12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2" fontId="12" fillId="6" borderId="16" xfId="0" applyNumberFormat="1" applyFont="1" applyFill="1" applyBorder="1" applyAlignment="1">
      <alignment horizontal="center" vertical="center"/>
    </xf>
    <xf numFmtId="2" fontId="15" fillId="6" borderId="31" xfId="0" applyNumberFormat="1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2" fontId="13" fillId="7" borderId="36" xfId="0" applyNumberFormat="1" applyFont="1" applyFill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center" vertical="center"/>
    </xf>
    <xf numFmtId="2" fontId="15" fillId="6" borderId="32" xfId="0" applyNumberFormat="1" applyFont="1" applyFill="1" applyBorder="1" applyAlignment="1">
      <alignment horizontal="center" vertical="center"/>
    </xf>
    <xf numFmtId="2" fontId="15" fillId="7" borderId="31" xfId="0" applyNumberFormat="1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2" fontId="15" fillId="7" borderId="32" xfId="0" applyNumberFormat="1" applyFont="1" applyFill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2" fontId="12" fillId="7" borderId="32" xfId="0" applyNumberFormat="1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4" fontId="14" fillId="6" borderId="16" xfId="0" applyNumberFormat="1" applyFont="1" applyFill="1" applyBorder="1" applyAlignment="1">
      <alignment horizontal="center" vertical="center" wrapText="1"/>
    </xf>
    <xf numFmtId="4" fontId="12" fillId="7" borderId="31" xfId="0" applyNumberFormat="1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4" fontId="14" fillId="6" borderId="26" xfId="0" applyNumberFormat="1" applyFont="1" applyFill="1" applyBorder="1" applyAlignment="1">
      <alignment horizontal="center" vertical="center" wrapText="1"/>
    </xf>
    <xf numFmtId="4" fontId="12" fillId="7" borderId="32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2" fontId="15" fillId="6" borderId="16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 readingOrder="1"/>
    </xf>
    <xf numFmtId="2" fontId="15" fillId="0" borderId="0" xfId="0" applyNumberFormat="1" applyFont="1" applyFill="1" applyBorder="1" applyAlignment="1">
      <alignment vertical="center"/>
    </xf>
    <xf numFmtId="2" fontId="13" fillId="8" borderId="65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vertical="center" wrapText="1"/>
    </xf>
    <xf numFmtId="0" fontId="13" fillId="0" borderId="0" xfId="0" applyFont="1" applyBorder="1"/>
    <xf numFmtId="0" fontId="2" fillId="2" borderId="39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40" xfId="0" applyFont="1" applyFill="1" applyBorder="1" applyAlignment="1">
      <alignment horizontal="center" vertical="center" wrapText="1" readingOrder="1"/>
    </xf>
    <xf numFmtId="0" fontId="2" fillId="8" borderId="44" xfId="0" applyFont="1" applyFill="1" applyBorder="1" applyAlignment="1">
      <alignment horizontal="center" vertical="center" wrapText="1" readingOrder="1"/>
    </xf>
    <xf numFmtId="0" fontId="23" fillId="7" borderId="39" xfId="0" applyFont="1" applyFill="1" applyBorder="1" applyAlignment="1">
      <alignment horizontal="center" vertical="center" wrapText="1" readingOrder="1"/>
    </xf>
    <xf numFmtId="2" fontId="3" fillId="0" borderId="1" xfId="0" applyNumberFormat="1" applyFont="1" applyFill="1" applyBorder="1" applyAlignment="1">
      <alignment horizontal="center" vertical="center" wrapText="1" readingOrder="1"/>
    </xf>
    <xf numFmtId="2" fontId="3" fillId="0" borderId="2" xfId="0" applyNumberFormat="1" applyFont="1" applyFill="1" applyBorder="1" applyAlignment="1">
      <alignment horizontal="center" vertical="center" wrapText="1" readingOrder="1"/>
    </xf>
    <xf numFmtId="2" fontId="3" fillId="0" borderId="8" xfId="0" applyNumberFormat="1" applyFont="1" applyFill="1" applyBorder="1" applyAlignment="1">
      <alignment horizontal="center" vertical="center" wrapText="1" readingOrder="1"/>
    </xf>
    <xf numFmtId="2" fontId="3" fillId="0" borderId="11" xfId="0" applyNumberFormat="1" applyFont="1" applyFill="1" applyBorder="1" applyAlignment="1">
      <alignment horizontal="center" vertical="center" wrapText="1" readingOrder="1"/>
    </xf>
    <xf numFmtId="0" fontId="24" fillId="1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left" vertical="center" wrapText="1" readingOrder="1"/>
    </xf>
    <xf numFmtId="4" fontId="2" fillId="0" borderId="3" xfId="0" applyNumberFormat="1" applyFont="1" applyFill="1" applyBorder="1" applyAlignment="1">
      <alignment horizontal="center" vertical="center" wrapText="1" readingOrder="1"/>
    </xf>
    <xf numFmtId="3" fontId="2" fillId="0" borderId="3" xfId="0" applyNumberFormat="1" applyFont="1" applyFill="1" applyBorder="1" applyAlignment="1">
      <alignment horizontal="center" vertical="center" wrapText="1" readingOrder="1"/>
    </xf>
    <xf numFmtId="3" fontId="2" fillId="0" borderId="28" xfId="0" applyNumberFormat="1" applyFont="1" applyFill="1" applyBorder="1" applyAlignment="1">
      <alignment horizontal="center" vertical="center" wrapText="1" readingOrder="1"/>
    </xf>
    <xf numFmtId="3" fontId="23" fillId="0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left" vertical="center" wrapText="1" readingOrder="1"/>
    </xf>
    <xf numFmtId="3" fontId="2" fillId="0" borderId="2" xfId="0" applyNumberFormat="1" applyFont="1" applyFill="1" applyBorder="1" applyAlignment="1">
      <alignment horizontal="center" vertical="center" wrapText="1" readingOrder="1"/>
    </xf>
    <xf numFmtId="3" fontId="2" fillId="0" borderId="27" xfId="0" applyNumberFormat="1" applyFont="1" applyFill="1" applyBorder="1" applyAlignment="1">
      <alignment horizontal="center" vertical="center" wrapText="1" readingOrder="1"/>
    </xf>
    <xf numFmtId="3" fontId="23" fillId="0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vertical="center"/>
    </xf>
    <xf numFmtId="4" fontId="3" fillId="17" borderId="42" xfId="0" applyNumberFormat="1" applyFont="1" applyFill="1" applyBorder="1" applyAlignment="1">
      <alignment horizontal="center" vertical="center" wrapText="1" readingOrder="1"/>
    </xf>
    <xf numFmtId="3" fontId="3" fillId="17" borderId="43" xfId="0" applyNumberFormat="1" applyFont="1" applyFill="1" applyBorder="1" applyAlignment="1">
      <alignment horizontal="center" vertical="center" wrapText="1" readingOrder="1"/>
    </xf>
    <xf numFmtId="3" fontId="3" fillId="14" borderId="53" xfId="0" applyNumberFormat="1" applyFont="1" applyFill="1" applyBorder="1" applyAlignment="1">
      <alignment horizontal="center" vertical="center" wrapText="1" readingOrder="1"/>
    </xf>
    <xf numFmtId="3" fontId="3" fillId="17" borderId="6" xfId="0" applyNumberFormat="1" applyFont="1" applyFill="1" applyBorder="1" applyAlignment="1">
      <alignment horizontal="center" vertical="center" wrapText="1" readingOrder="1"/>
    </xf>
    <xf numFmtId="3" fontId="3" fillId="17" borderId="7" xfId="0" applyNumberFormat="1" applyFont="1" applyFill="1" applyBorder="1" applyAlignment="1">
      <alignment horizontal="center" vertical="center" wrapText="1" readingOrder="1"/>
    </xf>
    <xf numFmtId="165" fontId="17" fillId="0" borderId="0" xfId="3" applyNumberFormat="1" applyFont="1" applyBorder="1" applyAlignment="1"/>
    <xf numFmtId="165" fontId="17" fillId="0" borderId="0" xfId="3" applyNumberFormat="1" applyFont="1" applyBorder="1"/>
    <xf numFmtId="0" fontId="17" fillId="0" borderId="0" xfId="0" applyFont="1" applyFill="1" applyBorder="1" applyAlignment="1"/>
    <xf numFmtId="0" fontId="17" fillId="14" borderId="46" xfId="0" applyFont="1" applyFill="1" applyBorder="1" applyAlignment="1"/>
    <xf numFmtId="43" fontId="17" fillId="0" borderId="35" xfId="3" applyFont="1" applyBorder="1"/>
    <xf numFmtId="0" fontId="17" fillId="14" borderId="48" xfId="0" applyFont="1" applyFill="1" applyBorder="1" applyAlignment="1"/>
    <xf numFmtId="43" fontId="17" fillId="0" borderId="36" xfId="3" applyFont="1" applyBorder="1"/>
    <xf numFmtId="0" fontId="17" fillId="14" borderId="50" xfId="0" applyFont="1" applyFill="1" applyBorder="1" applyAlignment="1"/>
    <xf numFmtId="43" fontId="17" fillId="0" borderId="31" xfId="3" applyFont="1" applyBorder="1"/>
    <xf numFmtId="0" fontId="1" fillId="6" borderId="15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left" vertical="center" wrapText="1" readingOrder="1"/>
    </xf>
    <xf numFmtId="0" fontId="5" fillId="0" borderId="28" xfId="0" applyFont="1" applyBorder="1" applyAlignment="1">
      <alignment horizontal="left" vertical="center" wrapText="1"/>
    </xf>
    <xf numFmtId="43" fontId="3" fillId="7" borderId="11" xfId="3" applyFont="1" applyFill="1" applyBorder="1" applyAlignment="1">
      <alignment horizontal="center" vertical="center" wrapText="1" readingOrder="1"/>
    </xf>
    <xf numFmtId="9" fontId="0" fillId="0" borderId="72" xfId="4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43" fontId="3" fillId="0" borderId="0" xfId="3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3" fontId="17" fillId="0" borderId="0" xfId="0" applyNumberFormat="1" applyFont="1" applyFill="1" applyBorder="1" applyAlignment="1"/>
    <xf numFmtId="4" fontId="0" fillId="0" borderId="0" xfId="0" applyNumberFormat="1" applyFill="1" applyAlignment="1">
      <alignment horizontal="center"/>
    </xf>
    <xf numFmtId="3" fontId="0" fillId="0" borderId="0" xfId="0" applyNumberFormat="1" applyFill="1" applyAlignment="1"/>
    <xf numFmtId="43" fontId="17" fillId="0" borderId="35" xfId="3" applyFont="1" applyBorder="1" applyAlignment="1">
      <alignment horizontal="center" vertical="center"/>
    </xf>
    <xf numFmtId="43" fontId="17" fillId="0" borderId="36" xfId="3" applyFont="1" applyBorder="1" applyAlignment="1">
      <alignment horizontal="center" vertical="center"/>
    </xf>
    <xf numFmtId="43" fontId="17" fillId="0" borderId="31" xfId="3" applyFont="1" applyBorder="1" applyAlignment="1">
      <alignment horizontal="center" vertical="center"/>
    </xf>
    <xf numFmtId="9" fontId="17" fillId="0" borderId="72" xfId="4" applyFont="1" applyBorder="1" applyAlignment="1">
      <alignment horizontal="right" vertical="center"/>
    </xf>
    <xf numFmtId="0" fontId="3" fillId="14" borderId="5" xfId="0" applyFont="1" applyFill="1" applyBorder="1" applyAlignment="1">
      <alignment horizontal="center" vertical="center" wrapText="1" readingOrder="1"/>
    </xf>
    <xf numFmtId="0" fontId="3" fillId="14" borderId="6" xfId="0" applyFont="1" applyFill="1" applyBorder="1" applyAlignment="1">
      <alignment horizontal="center" vertical="center" wrapText="1" readingOrder="1"/>
    </xf>
    <xf numFmtId="0" fontId="3" fillId="14" borderId="54" xfId="0" applyFont="1" applyFill="1" applyBorder="1" applyAlignment="1">
      <alignment horizontal="center" vertical="center" wrapText="1" readingOrder="1"/>
    </xf>
    <xf numFmtId="165" fontId="17" fillId="15" borderId="24" xfId="3" applyNumberFormat="1" applyFont="1" applyFill="1" applyBorder="1" applyAlignment="1">
      <alignment horizontal="center"/>
    </xf>
    <xf numFmtId="165" fontId="17" fillId="15" borderId="49" xfId="3" applyNumberFormat="1" applyFont="1" applyFill="1" applyBorder="1" applyAlignment="1">
      <alignment horizontal="center"/>
    </xf>
    <xf numFmtId="165" fontId="1" fillId="15" borderId="6" xfId="3" applyNumberFormat="1" applyFont="1" applyFill="1" applyBorder="1" applyAlignment="1">
      <alignment horizontal="center" vertical="center" wrapText="1" readingOrder="1"/>
    </xf>
    <xf numFmtId="165" fontId="1" fillId="15" borderId="7" xfId="3" applyNumberFormat="1" applyFont="1" applyFill="1" applyBorder="1" applyAlignment="1">
      <alignment horizontal="center" vertical="center" wrapText="1" readingOrder="1"/>
    </xf>
    <xf numFmtId="165" fontId="1" fillId="15" borderId="30" xfId="3" applyNumberFormat="1" applyFont="1" applyFill="1" applyBorder="1" applyAlignment="1">
      <alignment horizontal="center" vertical="center" shrinkToFit="1" readingOrder="1"/>
    </xf>
    <xf numFmtId="165" fontId="1" fillId="15" borderId="25" xfId="3" applyNumberFormat="1" applyFont="1" applyFill="1" applyBorder="1" applyAlignment="1">
      <alignment horizontal="center" vertical="center" shrinkToFit="1" readingOrder="1"/>
    </xf>
    <xf numFmtId="165" fontId="1" fillId="15" borderId="24" xfId="3" applyNumberFormat="1" applyFont="1" applyFill="1" applyBorder="1" applyAlignment="1">
      <alignment horizontal="center" vertical="center" shrinkToFit="1" readingOrder="1"/>
    </xf>
    <xf numFmtId="165" fontId="1" fillId="15" borderId="47" xfId="3" applyNumberFormat="1" applyFont="1" applyFill="1" applyBorder="1" applyAlignment="1">
      <alignment vertical="center" shrinkToFit="1" readingOrder="1"/>
    </xf>
    <xf numFmtId="165" fontId="1" fillId="15" borderId="38" xfId="3" applyNumberFormat="1" applyFont="1" applyFill="1" applyBorder="1" applyAlignment="1">
      <alignment vertical="center" shrinkToFit="1" readingOrder="1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4" fillId="15" borderId="67" xfId="0" applyFont="1" applyFill="1" applyBorder="1" applyAlignment="1">
      <alignment horizontal="center" vertical="center" wrapText="1" readingOrder="1"/>
    </xf>
    <xf numFmtId="0" fontId="1" fillId="15" borderId="70" xfId="0" applyFont="1" applyFill="1" applyBorder="1" applyAlignment="1">
      <alignment horizontal="center" vertical="center" wrapText="1" readingOrder="1"/>
    </xf>
    <xf numFmtId="0" fontId="1" fillId="15" borderId="66" xfId="0" applyFont="1" applyFill="1" applyBorder="1" applyAlignment="1">
      <alignment horizontal="center" vertical="center" wrapText="1" readingOrder="1"/>
    </xf>
    <xf numFmtId="0" fontId="1" fillId="15" borderId="69" xfId="0" applyFont="1" applyFill="1" applyBorder="1" applyAlignment="1">
      <alignment horizontal="center" vertical="center" wrapText="1" readingOrder="1"/>
    </xf>
    <xf numFmtId="0" fontId="1" fillId="15" borderId="67" xfId="0" applyFont="1" applyFill="1" applyBorder="1" applyAlignment="1">
      <alignment horizontal="center" vertical="center" wrapText="1" readingOrder="1"/>
    </xf>
    <xf numFmtId="0" fontId="4" fillId="15" borderId="68" xfId="0" applyFont="1" applyFill="1" applyBorder="1" applyAlignment="1">
      <alignment horizontal="left" vertical="center" wrapText="1"/>
    </xf>
    <xf numFmtId="0" fontId="1" fillId="15" borderId="71" xfId="0" applyFont="1" applyFill="1" applyBorder="1" applyAlignment="1">
      <alignment horizontal="left" vertical="center" wrapText="1"/>
    </xf>
    <xf numFmtId="43" fontId="1" fillId="15" borderId="35" xfId="3" applyFont="1" applyFill="1" applyBorder="1" applyAlignment="1">
      <alignment horizontal="center" vertical="center" wrapText="1" readingOrder="1"/>
    </xf>
    <xf numFmtId="43" fontId="1" fillId="15" borderId="31" xfId="3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" fillId="15" borderId="48" xfId="0" applyFont="1" applyFill="1" applyBorder="1" applyAlignment="1">
      <alignment horizontal="center" vertical="center" wrapText="1" readingOrder="1"/>
    </xf>
    <xf numFmtId="0" fontId="1" fillId="15" borderId="50" xfId="0" applyFont="1" applyFill="1" applyBorder="1" applyAlignment="1">
      <alignment horizontal="center" vertical="center" wrapText="1" readingOrder="1"/>
    </xf>
    <xf numFmtId="0" fontId="1" fillId="15" borderId="45" xfId="0" applyFont="1" applyFill="1" applyBorder="1" applyAlignment="1">
      <alignment horizontal="center" vertical="center" shrinkToFit="1" readingOrder="1"/>
    </xf>
    <xf numFmtId="0" fontId="1" fillId="15" borderId="51" xfId="0" applyFont="1" applyFill="1" applyBorder="1" applyAlignment="1">
      <alignment horizontal="center" vertical="center" shrinkToFit="1" readingOrder="1"/>
    </xf>
    <xf numFmtId="165" fontId="1" fillId="15" borderId="21" xfId="3" applyNumberFormat="1" applyFont="1" applyFill="1" applyBorder="1" applyAlignment="1">
      <alignment horizontal="center" vertical="center" shrinkToFit="1" readingOrder="1"/>
    </xf>
    <xf numFmtId="165" fontId="1" fillId="15" borderId="22" xfId="3" applyNumberFormat="1" applyFont="1" applyFill="1" applyBorder="1" applyAlignment="1">
      <alignment horizontal="center" vertical="center" shrinkToFit="1" readingOrder="1"/>
    </xf>
    <xf numFmtId="165" fontId="1" fillId="15" borderId="23" xfId="3" applyNumberFormat="1" applyFont="1" applyFill="1" applyBorder="1" applyAlignment="1">
      <alignment horizontal="center" vertical="center" shrinkToFit="1" readingOrder="1"/>
    </xf>
    <xf numFmtId="0" fontId="1" fillId="15" borderId="46" xfId="0" applyFont="1" applyFill="1" applyBorder="1" applyAlignment="1">
      <alignment horizontal="center" vertical="center" wrapText="1" readingOrder="1"/>
    </xf>
    <xf numFmtId="0" fontId="1" fillId="15" borderId="47" xfId="0" applyFont="1" applyFill="1" applyBorder="1" applyAlignment="1">
      <alignment horizontal="center" vertical="center" wrapText="1" readingOrder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2" fontId="13" fillId="0" borderId="36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3" fillId="7" borderId="36" xfId="0" applyNumberFormat="1" applyFont="1" applyFill="1" applyBorder="1" applyAlignment="1">
      <alignment horizontal="center" vertical="center"/>
    </xf>
    <xf numFmtId="0" fontId="12" fillId="9" borderId="55" xfId="0" applyFont="1" applyFill="1" applyBorder="1" applyAlignment="1">
      <alignment horizontal="center" vertical="center" wrapText="1"/>
    </xf>
    <xf numFmtId="0" fontId="12" fillId="9" borderId="56" xfId="0" applyFont="1" applyFill="1" applyBorder="1" applyAlignment="1">
      <alignment horizontal="center" vertical="center" wrapText="1"/>
    </xf>
    <xf numFmtId="0" fontId="12" fillId="9" borderId="5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2" fontId="13" fillId="5" borderId="8" xfId="0" applyNumberFormat="1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2" fontId="15" fillId="5" borderId="36" xfId="0" applyNumberFormat="1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2" fontId="13" fillId="0" borderId="3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 wrapText="1"/>
    </xf>
    <xf numFmtId="2" fontId="12" fillId="5" borderId="36" xfId="0" applyNumberFormat="1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4" fontId="12" fillId="5" borderId="36" xfId="0" applyNumberFormat="1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2" fontId="13" fillId="0" borderId="62" xfId="0" applyNumberFormat="1" applyFont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 readingOrder="1"/>
    </xf>
    <xf numFmtId="0" fontId="0" fillId="6" borderId="8" xfId="0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 readingOrder="1"/>
    </xf>
    <xf numFmtId="0" fontId="3" fillId="10" borderId="6" xfId="0" applyFont="1" applyFill="1" applyBorder="1" applyAlignment="1">
      <alignment horizontal="center" vertical="center" wrapText="1" readingOrder="1"/>
    </xf>
    <xf numFmtId="0" fontId="3" fillId="10" borderId="7" xfId="0" applyFont="1" applyFill="1" applyBorder="1" applyAlignment="1">
      <alignment horizontal="center" vertical="center" wrapText="1" readingOrder="1"/>
    </xf>
    <xf numFmtId="0" fontId="1" fillId="6" borderId="2" xfId="0" applyFont="1" applyFill="1" applyBorder="1" applyAlignment="1">
      <alignment horizontal="center" vertical="center" wrapText="1" readingOrder="1"/>
    </xf>
    <xf numFmtId="0" fontId="1" fillId="6" borderId="13" xfId="0" applyFont="1" applyFill="1" applyBorder="1" applyAlignment="1">
      <alignment horizontal="center" vertical="center" wrapText="1" readingOrder="1"/>
    </xf>
    <xf numFmtId="0" fontId="1" fillId="6" borderId="3" xfId="0" applyFont="1" applyFill="1" applyBorder="1" applyAlignment="1">
      <alignment horizontal="center" vertical="center" wrapText="1" readingOrder="1"/>
    </xf>
    <xf numFmtId="0" fontId="1" fillId="6" borderId="27" xfId="0" applyFont="1" applyFill="1" applyBorder="1" applyAlignment="1">
      <alignment horizontal="center" vertical="center" wrapText="1" readingOrder="1"/>
    </xf>
    <xf numFmtId="0" fontId="1" fillId="6" borderId="28" xfId="0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11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4" fillId="5" borderId="8" xfId="2" applyFont="1" applyFill="1" applyBorder="1" applyAlignment="1">
      <alignment horizontal="left" vertical="center" wrapText="1"/>
    </xf>
    <xf numFmtId="0" fontId="14" fillId="4" borderId="8" xfId="2" applyFont="1" applyFill="1" applyBorder="1" applyAlignment="1">
      <alignment horizontal="left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4" fillId="0" borderId="8" xfId="2" quotePrefix="1" applyFont="1" applyFill="1" applyBorder="1" applyAlignment="1">
      <alignment horizontal="left" vertical="center" wrapText="1"/>
    </xf>
    <xf numFmtId="14" fontId="14" fillId="0" borderId="8" xfId="2" applyNumberFormat="1" applyFont="1" applyFill="1" applyBorder="1" applyAlignment="1">
      <alignment horizontal="left" vertical="center"/>
    </xf>
    <xf numFmtId="0" fontId="14" fillId="0" borderId="8" xfId="2" applyFont="1" applyFill="1" applyBorder="1" applyAlignment="1">
      <alignment horizontal="left" vertical="center"/>
    </xf>
    <xf numFmtId="0" fontId="3" fillId="17" borderId="5" xfId="0" applyFont="1" applyFill="1" applyBorder="1" applyAlignment="1">
      <alignment horizontal="center" vertical="center" wrapText="1" readingOrder="1"/>
    </xf>
    <xf numFmtId="0" fontId="3" fillId="17" borderId="6" xfId="0" applyFont="1" applyFill="1" applyBorder="1" applyAlignment="1">
      <alignment horizontal="center" vertical="center" wrapText="1" readingOrder="1"/>
    </xf>
    <xf numFmtId="0" fontId="3" fillId="17" borderId="7" xfId="0" applyFont="1" applyFill="1" applyBorder="1" applyAlignment="1">
      <alignment horizontal="center" vertical="center" wrapText="1" readingOrder="1"/>
    </xf>
    <xf numFmtId="0" fontId="1" fillId="16" borderId="17" xfId="0" applyFont="1" applyFill="1" applyBorder="1" applyAlignment="1">
      <alignment horizontal="center" vertical="center" wrapText="1" readingOrder="1"/>
    </xf>
    <xf numFmtId="0" fontId="1" fillId="16" borderId="16" xfId="0" applyFont="1" applyFill="1" applyBorder="1" applyAlignment="1">
      <alignment horizontal="center" vertical="center" wrapText="1" readingOrder="1"/>
    </xf>
    <xf numFmtId="0" fontId="23" fillId="16" borderId="35" xfId="0" applyFont="1" applyFill="1" applyBorder="1" applyAlignment="1">
      <alignment horizontal="center" vertical="center"/>
    </xf>
    <xf numFmtId="0" fontId="23" fillId="16" borderId="31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1" fillId="16" borderId="46" xfId="0" applyFont="1" applyFill="1" applyBorder="1" applyAlignment="1">
      <alignment horizontal="center" vertical="center" wrapText="1" readingOrder="1"/>
    </xf>
    <xf numFmtId="0" fontId="1" fillId="16" borderId="50" xfId="0" applyFont="1" applyFill="1" applyBorder="1" applyAlignment="1">
      <alignment horizontal="center" vertical="center" wrapText="1" readingOrder="1"/>
    </xf>
    <xf numFmtId="0" fontId="0" fillId="5" borderId="0" xfId="0" applyFill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3" fontId="0" fillId="0" borderId="8" xfId="0" applyNumberFormat="1" applyBorder="1" applyAlignment="1">
      <alignment horizontal="center" vertical="center" readingOrder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 readingOrder="1"/>
    </xf>
    <xf numFmtId="0" fontId="2" fillId="0" borderId="9" xfId="0" applyFont="1" applyBorder="1" applyAlignment="1">
      <alignment horizontal="left" vertical="center" wrapText="1" readingOrder="1"/>
    </xf>
    <xf numFmtId="0" fontId="2" fillId="0" borderId="10" xfId="0" applyFont="1" applyBorder="1" applyAlignment="1">
      <alignment horizontal="left" vertical="center" wrapText="1" readingOrder="1"/>
    </xf>
    <xf numFmtId="0" fontId="2" fillId="0" borderId="11" xfId="0" applyFont="1" applyBorder="1" applyAlignment="1">
      <alignment horizontal="left" vertical="center" wrapText="1" readingOrder="1"/>
    </xf>
    <xf numFmtId="3" fontId="2" fillId="0" borderId="9" xfId="0" applyNumberFormat="1" applyFont="1" applyFill="1" applyBorder="1" applyAlignment="1">
      <alignment horizontal="center" vertical="center" wrapText="1" readingOrder="1"/>
    </xf>
    <xf numFmtId="3" fontId="2" fillId="0" borderId="10" xfId="0" applyNumberFormat="1" applyFont="1" applyFill="1" applyBorder="1" applyAlignment="1">
      <alignment horizontal="center" vertical="center" wrapText="1" readingOrder="1"/>
    </xf>
    <xf numFmtId="3" fontId="2" fillId="0" borderId="11" xfId="0" applyNumberFormat="1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17" fillId="14" borderId="55" xfId="0" applyFont="1" applyFill="1" applyBorder="1" applyAlignment="1">
      <alignment vertical="center" wrapText="1"/>
    </xf>
  </cellXfs>
  <cellStyles count="5">
    <cellStyle name="Comma" xfId="3" builtinId="3"/>
    <cellStyle name="Millares 2" xfId="1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Desktop/PR-L1092/documentos%20de%20mantenimiento/Users/lpaiva/AppData/Local/Microsoft/Windows/Temporary%20Internet%20Files/Content.Outlook/B8END4XD/A&#209;O%202014/Detalle%20de%20tramos%20a%20dise&#241;ar%20e%20interven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Desktop/PR-L1092/documentos%20de%20mantenimiento/A&#209;O%202014/INFORME%20%20DCV%2031-07-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Desktop/PR-L1092/documentos%20de%20mantenimiento/RESUMEN%20MEGAPROYECTO%201%20(mar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s a diseñar"/>
      <sheetName val="Obras Muestra"/>
      <sheetName val="Obras Concepción"/>
      <sheetName val="Obras JICA 1er llamado"/>
      <sheetName val="Obras JICA 2do llamado"/>
    </sheetNames>
    <sheetDataSet>
      <sheetData sheetId="0"/>
      <sheetData sheetId="1"/>
      <sheetData sheetId="2"/>
      <sheetData sheetId="3">
        <row r="7">
          <cell r="G7">
            <v>2.1440000000000001</v>
          </cell>
        </row>
        <row r="14">
          <cell r="G14">
            <v>6.3869999999999996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PEP LIC 78 - 09"/>
      <sheetName val="Fondo Local"/>
      <sheetName val="Lic 126-11"/>
      <sheetName val="LIC -69-11"/>
      <sheetName val="LIC 58 - 11"/>
      <sheetName val="LIC-37-12"/>
      <sheetName val="LIC 81 - 12 JICA"/>
      <sheetName val="Consultora"/>
    </sheetNames>
    <sheetDataSet>
      <sheetData sheetId="0">
        <row r="28">
          <cell r="E28">
            <v>4504442.1668888889</v>
          </cell>
        </row>
      </sheetData>
      <sheetData sheetId="1"/>
      <sheetData sheetId="2">
        <row r="20">
          <cell r="P20">
            <v>9672146.598888889</v>
          </cell>
        </row>
      </sheetData>
      <sheetData sheetId="3">
        <row r="30">
          <cell r="N30">
            <v>6191419.3191111116</v>
          </cell>
        </row>
      </sheetData>
      <sheetData sheetId="4"/>
      <sheetData sheetId="5">
        <row r="23">
          <cell r="O23">
            <v>4608597.4424444446</v>
          </cell>
        </row>
      </sheetData>
      <sheetData sheetId="6">
        <row r="35">
          <cell r="M35">
            <v>14710803.125111111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CAM(Israelitas)"/>
      <sheetName val="1. Resumen CAMINOS"/>
      <sheetName val="1. Detalle Tramos"/>
      <sheetName val="2. Resumen PUENTES"/>
      <sheetName val="2. Detalle Puentes"/>
      <sheetName val="3. Resumen Mantenimiento"/>
    </sheetNames>
    <sheetDataSet>
      <sheetData sheetId="0"/>
      <sheetData sheetId="1"/>
      <sheetData sheetId="2"/>
      <sheetData sheetId="3"/>
      <sheetData sheetId="4">
        <row r="212">
          <cell r="D212">
            <v>3190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topLeftCell="A15" zoomScale="80" zoomScaleNormal="80" workbookViewId="0">
      <selection activeCell="G25" sqref="G25"/>
    </sheetView>
  </sheetViews>
  <sheetFormatPr defaultColWidth="11.42578125" defaultRowHeight="15" x14ac:dyDescent="0.25"/>
  <cols>
    <col min="1" max="1" width="6.5703125" customWidth="1"/>
    <col min="2" max="2" width="15.42578125" customWidth="1"/>
    <col min="3" max="3" width="26.140625" customWidth="1"/>
    <col min="4" max="4" width="7.28515625" customWidth="1"/>
    <col min="5" max="5" width="31.85546875" customWidth="1"/>
    <col min="6" max="6" width="39.140625" style="166" customWidth="1"/>
    <col min="7" max="7" width="27" style="175" bestFit="1" customWidth="1"/>
    <col min="8" max="8" width="15.140625" hidden="1" customWidth="1"/>
    <col min="11" max="11" width="17.85546875" customWidth="1"/>
    <col min="12" max="12" width="11.5703125" bestFit="1" customWidth="1"/>
    <col min="13" max="13" width="14.28515625" bestFit="1" customWidth="1"/>
    <col min="14" max="14" width="11.5703125" bestFit="1" customWidth="1"/>
    <col min="15" max="15" width="14.28515625" bestFit="1" customWidth="1"/>
    <col min="16" max="16" width="11.5703125" bestFit="1" customWidth="1"/>
    <col min="17" max="17" width="14.28515625" bestFit="1" customWidth="1"/>
    <col min="18" max="18" width="11.5703125" bestFit="1" customWidth="1"/>
    <col min="19" max="19" width="15.28515625" bestFit="1" customWidth="1"/>
    <col min="20" max="20" width="11.5703125" bestFit="1" customWidth="1"/>
    <col min="21" max="21" width="14.28515625" bestFit="1" customWidth="1"/>
    <col min="22" max="22" width="11.5703125" bestFit="1" customWidth="1"/>
    <col min="23" max="23" width="15.28515625" bestFit="1" customWidth="1"/>
    <col min="24" max="24" width="0" hidden="1" customWidth="1"/>
    <col min="25" max="25" width="13" hidden="1" customWidth="1"/>
    <col min="26" max="26" width="0" hidden="1" customWidth="1"/>
    <col min="27" max="27" width="12.7109375" bestFit="1" customWidth="1"/>
  </cols>
  <sheetData>
    <row r="1" spans="1:26" x14ac:dyDescent="0.25">
      <c r="A1" s="5" t="s">
        <v>21</v>
      </c>
      <c r="B1" s="5"/>
      <c r="G1" s="174" t="s">
        <v>553</v>
      </c>
    </row>
    <row r="2" spans="1:26" x14ac:dyDescent="0.25">
      <c r="A2" t="s">
        <v>552</v>
      </c>
      <c r="G2" s="174" t="s">
        <v>570</v>
      </c>
    </row>
    <row r="3" spans="1:26" ht="15.75" thickBot="1" x14ac:dyDescent="0.3"/>
    <row r="4" spans="1:26" ht="26.25" customHeight="1" thickBot="1" x14ac:dyDescent="0.3">
      <c r="A4" s="318" t="s">
        <v>551</v>
      </c>
      <c r="B4" s="319"/>
      <c r="C4" s="319"/>
      <c r="D4" s="319"/>
      <c r="E4" s="319"/>
      <c r="F4" s="319"/>
      <c r="G4" s="319"/>
      <c r="H4" s="320"/>
    </row>
    <row r="5" spans="1:26" ht="26.25" customHeight="1" thickBot="1" x14ac:dyDescent="0.3">
      <c r="A5" s="258"/>
      <c r="B5" s="258"/>
      <c r="C5" s="258"/>
      <c r="D5" s="258"/>
      <c r="E5" s="258"/>
      <c r="F5" s="258"/>
      <c r="G5" s="258"/>
      <c r="H5" s="257"/>
    </row>
    <row r="6" spans="1:26" ht="15" customHeight="1" thickBot="1" x14ac:dyDescent="0.3">
      <c r="I6" s="340" t="s">
        <v>529</v>
      </c>
      <c r="J6" s="341"/>
      <c r="K6" s="337" t="s">
        <v>530</v>
      </c>
      <c r="L6" s="311" t="s">
        <v>531</v>
      </c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2"/>
    </row>
    <row r="7" spans="1:26" x14ac:dyDescent="0.25">
      <c r="A7" s="325" t="s">
        <v>41</v>
      </c>
      <c r="B7" s="327" t="s">
        <v>0</v>
      </c>
      <c r="C7" s="323" t="s">
        <v>14</v>
      </c>
      <c r="D7" s="323" t="s">
        <v>12</v>
      </c>
      <c r="E7" s="323" t="s">
        <v>23</v>
      </c>
      <c r="F7" s="328" t="s">
        <v>24</v>
      </c>
      <c r="G7" s="330" t="s">
        <v>121</v>
      </c>
      <c r="H7" s="290" t="s">
        <v>1</v>
      </c>
      <c r="I7" s="333" t="s">
        <v>527</v>
      </c>
      <c r="J7" s="335" t="s">
        <v>528</v>
      </c>
      <c r="K7" s="338"/>
      <c r="L7" s="313">
        <v>2014</v>
      </c>
      <c r="M7" s="314"/>
      <c r="N7" s="315">
        <v>2015</v>
      </c>
      <c r="O7" s="314"/>
      <c r="P7" s="315">
        <v>2016</v>
      </c>
      <c r="Q7" s="314"/>
      <c r="R7" s="315">
        <v>2017</v>
      </c>
      <c r="S7" s="314"/>
      <c r="T7" s="316">
        <v>2018</v>
      </c>
      <c r="U7" s="317"/>
      <c r="V7" s="309" t="s">
        <v>530</v>
      </c>
      <c r="W7" s="310"/>
    </row>
    <row r="8" spans="1:26" ht="15.75" thickBot="1" x14ac:dyDescent="0.3">
      <c r="A8" s="326"/>
      <c r="B8" s="324"/>
      <c r="C8" s="324"/>
      <c r="D8" s="324"/>
      <c r="E8" s="324"/>
      <c r="F8" s="329"/>
      <c r="G8" s="331"/>
      <c r="H8" s="290" t="s">
        <v>2</v>
      </c>
      <c r="I8" s="334"/>
      <c r="J8" s="336"/>
      <c r="K8" s="339"/>
      <c r="L8" s="189" t="s">
        <v>532</v>
      </c>
      <c r="M8" s="190" t="s">
        <v>2</v>
      </c>
      <c r="N8" s="190" t="s">
        <v>532</v>
      </c>
      <c r="O8" s="190" t="s">
        <v>2</v>
      </c>
      <c r="P8" s="190" t="s">
        <v>532</v>
      </c>
      <c r="Q8" s="190" t="s">
        <v>2</v>
      </c>
      <c r="R8" s="190" t="s">
        <v>532</v>
      </c>
      <c r="S8" s="190" t="s">
        <v>2</v>
      </c>
      <c r="T8" s="190" t="s">
        <v>532</v>
      </c>
      <c r="U8" s="190" t="s">
        <v>2</v>
      </c>
      <c r="V8" s="190" t="s">
        <v>532</v>
      </c>
      <c r="W8" s="191" t="s">
        <v>2</v>
      </c>
    </row>
    <row r="9" spans="1:26" x14ac:dyDescent="0.25">
      <c r="A9" s="107">
        <v>1</v>
      </c>
      <c r="B9" s="250" t="s">
        <v>3</v>
      </c>
      <c r="C9" s="67" t="s">
        <v>5</v>
      </c>
      <c r="D9" s="291" t="s">
        <v>13</v>
      </c>
      <c r="E9" s="292" t="s">
        <v>6</v>
      </c>
      <c r="F9" s="293" t="s">
        <v>16</v>
      </c>
      <c r="G9" s="294">
        <f>+'Detalle Caminos'!D12</f>
        <v>40.293999999999997</v>
      </c>
      <c r="H9" s="39">
        <f>70000*G9</f>
        <v>2820580</v>
      </c>
      <c r="I9" s="169">
        <v>0</v>
      </c>
      <c r="J9" s="169">
        <v>70000</v>
      </c>
      <c r="K9" s="179">
        <f>+G9*(I9+J9)</f>
        <v>2820580</v>
      </c>
      <c r="L9" s="180">
        <f>+G9</f>
        <v>40.293999999999997</v>
      </c>
      <c r="M9" s="181">
        <f>+J9*L9</f>
        <v>2820580</v>
      </c>
      <c r="N9" s="180"/>
      <c r="O9" s="180"/>
      <c r="P9" s="180"/>
      <c r="Q9" s="180"/>
      <c r="R9" s="180"/>
      <c r="S9" s="180"/>
      <c r="T9" s="180"/>
      <c r="U9" s="180"/>
      <c r="V9" s="199">
        <f>+L9+N9+P9+R9+T9</f>
        <v>40.293999999999997</v>
      </c>
      <c r="W9" s="199">
        <f>+M9+O9+Q9+S9+U9</f>
        <v>2820580</v>
      </c>
    </row>
    <row r="10" spans="1:26" ht="30" x14ac:dyDescent="0.25">
      <c r="A10" s="6">
        <v>2</v>
      </c>
      <c r="B10" s="212" t="s">
        <v>3</v>
      </c>
      <c r="C10" s="1" t="s">
        <v>5</v>
      </c>
      <c r="D10" s="3" t="s">
        <v>13</v>
      </c>
      <c r="E10" s="2" t="s">
        <v>4</v>
      </c>
      <c r="F10" s="167" t="s">
        <v>16</v>
      </c>
      <c r="G10" s="198">
        <f>+'Detalle Caminos'!D21</f>
        <v>144.80418</v>
      </c>
      <c r="H10" s="39">
        <v>23500000</v>
      </c>
      <c r="I10" s="170">
        <v>0</v>
      </c>
      <c r="J10" s="171">
        <v>160000</v>
      </c>
      <c r="K10" s="182">
        <f t="shared" ref="K10:K17" si="0">+G10*(I10+J10)</f>
        <v>23168668.800000001</v>
      </c>
      <c r="L10" s="183">
        <f>+G10*0.15</f>
        <v>21.720627</v>
      </c>
      <c r="M10" s="184">
        <f>+L10*J10</f>
        <v>3475300.32</v>
      </c>
      <c r="N10" s="183">
        <f>+G10*0.65</f>
        <v>94.122717000000009</v>
      </c>
      <c r="O10" s="183">
        <f>+N10*J10</f>
        <v>15059634.720000001</v>
      </c>
      <c r="P10" s="183">
        <f>+G10*0.2</f>
        <v>28.960836</v>
      </c>
      <c r="Q10" s="183">
        <f>+P10*J10</f>
        <v>4633733.76</v>
      </c>
      <c r="R10" s="183"/>
      <c r="S10" s="183"/>
      <c r="T10" s="183"/>
      <c r="U10" s="183"/>
      <c r="V10" s="200">
        <f t="shared" ref="V10:V17" si="1">+L10+N10+P10+R10+T10</f>
        <v>144.80418</v>
      </c>
      <c r="W10" s="200">
        <f t="shared" ref="W10:W17" si="2">+M10+O10+Q10+S10+U10</f>
        <v>23168668.799999997</v>
      </c>
    </row>
    <row r="11" spans="1:26" x14ac:dyDescent="0.25">
      <c r="A11" s="6">
        <v>3</v>
      </c>
      <c r="B11" s="212" t="s">
        <v>3</v>
      </c>
      <c r="C11" s="1" t="s">
        <v>5</v>
      </c>
      <c r="D11" s="3" t="s">
        <v>13</v>
      </c>
      <c r="E11" s="2" t="s">
        <v>6</v>
      </c>
      <c r="F11" s="167" t="s">
        <v>17</v>
      </c>
      <c r="G11" s="198">
        <f>+'Detalle Caminos'!D27</f>
        <v>76.5</v>
      </c>
      <c r="H11" s="39">
        <f>200000*76.5</f>
        <v>15300000</v>
      </c>
      <c r="I11" s="170">
        <v>3200</v>
      </c>
      <c r="J11" s="170">
        <v>180000</v>
      </c>
      <c r="K11" s="182">
        <f t="shared" si="0"/>
        <v>14014800</v>
      </c>
      <c r="L11" s="183">
        <f>+G11*0.1</f>
        <v>7.65</v>
      </c>
      <c r="M11" s="184">
        <f>+(L11*J11)+G11*I11</f>
        <v>1621800</v>
      </c>
      <c r="N11" s="183">
        <f>+G11*0.5</f>
        <v>38.25</v>
      </c>
      <c r="O11" s="183">
        <f>+J11*N11</f>
        <v>6885000</v>
      </c>
      <c r="P11" s="183">
        <f>+G11*0.4</f>
        <v>30.6</v>
      </c>
      <c r="Q11" s="183">
        <f>+P11*J11</f>
        <v>5508000</v>
      </c>
      <c r="R11" s="183"/>
      <c r="S11" s="183"/>
      <c r="T11" s="183"/>
      <c r="U11" s="183"/>
      <c r="V11" s="200">
        <f t="shared" si="1"/>
        <v>76.5</v>
      </c>
      <c r="W11" s="200">
        <f t="shared" si="2"/>
        <v>14014800</v>
      </c>
    </row>
    <row r="12" spans="1:26" x14ac:dyDescent="0.25">
      <c r="A12" s="6">
        <v>4</v>
      </c>
      <c r="B12" s="212" t="s">
        <v>7</v>
      </c>
      <c r="C12" s="1" t="s">
        <v>5</v>
      </c>
      <c r="D12" s="3" t="s">
        <v>13</v>
      </c>
      <c r="E12" s="2" t="s">
        <v>8</v>
      </c>
      <c r="F12" s="167" t="s">
        <v>17</v>
      </c>
      <c r="G12" s="198">
        <f>+'Detalle Caminos'!D54</f>
        <v>149.19499999999999</v>
      </c>
      <c r="H12" s="39">
        <v>33000000</v>
      </c>
      <c r="I12" s="170">
        <v>3800</v>
      </c>
      <c r="J12" s="170">
        <v>180000</v>
      </c>
      <c r="K12" s="182">
        <f t="shared" si="0"/>
        <v>27422041</v>
      </c>
      <c r="L12" s="183">
        <f>+G12*0.15</f>
        <v>22.379249999999999</v>
      </c>
      <c r="M12" s="184">
        <f>+L12*J12+I12*G12</f>
        <v>4595206</v>
      </c>
      <c r="N12" s="183">
        <f>+G12*0.6</f>
        <v>89.516999999999996</v>
      </c>
      <c r="O12" s="183">
        <f>+N12*J12</f>
        <v>16113060</v>
      </c>
      <c r="P12" s="183">
        <f>+G12*0.25</f>
        <v>37.298749999999998</v>
      </c>
      <c r="Q12" s="183">
        <f>+P12*J12</f>
        <v>6713775</v>
      </c>
      <c r="R12" s="183"/>
      <c r="S12" s="183"/>
      <c r="T12" s="183"/>
      <c r="U12" s="183"/>
      <c r="V12" s="200">
        <f t="shared" si="1"/>
        <v>149.19499999999999</v>
      </c>
      <c r="W12" s="200">
        <f t="shared" si="2"/>
        <v>27422041</v>
      </c>
    </row>
    <row r="13" spans="1:26" ht="60" x14ac:dyDescent="0.25">
      <c r="A13" s="6">
        <v>5</v>
      </c>
      <c r="B13" s="212" t="s">
        <v>122</v>
      </c>
      <c r="C13" s="29" t="s">
        <v>514</v>
      </c>
      <c r="D13" s="3" t="s">
        <v>13</v>
      </c>
      <c r="E13" s="2" t="s">
        <v>9</v>
      </c>
      <c r="F13" s="168" t="s">
        <v>129</v>
      </c>
      <c r="G13" s="198">
        <f>+'Detalle Caminos'!D70</f>
        <v>392.48</v>
      </c>
      <c r="H13" s="39">
        <f>200000*380</f>
        <v>76000000</v>
      </c>
      <c r="I13" s="170">
        <v>1500</v>
      </c>
      <c r="J13" s="170">
        <v>200000</v>
      </c>
      <c r="K13" s="182">
        <f t="shared" si="0"/>
        <v>79084720</v>
      </c>
      <c r="L13" s="184"/>
      <c r="M13" s="184"/>
      <c r="N13" s="183">
        <f>+G13*0.05+I13*L13</f>
        <v>19.624000000000002</v>
      </c>
      <c r="O13" s="183">
        <f>+(N13*J13)+G13*I13</f>
        <v>4513520</v>
      </c>
      <c r="P13" s="183">
        <f>+G13*0.3</f>
        <v>117.744</v>
      </c>
      <c r="Q13" s="183">
        <f>+P13*J13</f>
        <v>23548800</v>
      </c>
      <c r="R13" s="183">
        <f>+G13*0.35</f>
        <v>137.36799999999999</v>
      </c>
      <c r="S13" s="183">
        <f>+R13*J13</f>
        <v>27473600</v>
      </c>
      <c r="T13" s="183">
        <f>+G13*0.3</f>
        <v>117.744</v>
      </c>
      <c r="U13" s="183">
        <f>+T13*J13</f>
        <v>23548800</v>
      </c>
      <c r="V13" s="200">
        <f t="shared" si="1"/>
        <v>392.48</v>
      </c>
      <c r="W13" s="200">
        <f t="shared" si="2"/>
        <v>79084720</v>
      </c>
    </row>
    <row r="14" spans="1:26" ht="79.5" customHeight="1" x14ac:dyDescent="0.25">
      <c r="A14" s="6">
        <v>6</v>
      </c>
      <c r="B14" s="212" t="s">
        <v>556</v>
      </c>
      <c r="C14" s="4" t="s">
        <v>15</v>
      </c>
      <c r="D14" s="3" t="s">
        <v>13</v>
      </c>
      <c r="E14" s="2" t="s">
        <v>9</v>
      </c>
      <c r="F14" s="168" t="s">
        <v>146</v>
      </c>
      <c r="G14" s="198">
        <f>+'Detalle Caminos'!D93</f>
        <v>350.46000000000004</v>
      </c>
      <c r="H14" s="39">
        <f>200000*300</f>
        <v>60000000</v>
      </c>
      <c r="I14" s="170">
        <v>4200</v>
      </c>
      <c r="J14" s="170">
        <v>200000</v>
      </c>
      <c r="K14" s="182">
        <f t="shared" si="0"/>
        <v>71563932</v>
      </c>
      <c r="L14" s="184"/>
      <c r="M14" s="184"/>
      <c r="N14" s="183"/>
      <c r="O14" s="183"/>
      <c r="P14" s="183">
        <f>+G14*0.2</f>
        <v>70.092000000000013</v>
      </c>
      <c r="Q14" s="183">
        <f>+(G14*I14)+P14*J14</f>
        <v>15490332.000000002</v>
      </c>
      <c r="R14" s="183">
        <f>+G14*0.3</f>
        <v>105.13800000000001</v>
      </c>
      <c r="S14" s="183">
        <f>+R14*J14</f>
        <v>21027600</v>
      </c>
      <c r="T14" s="183">
        <f>+G14*0.3</f>
        <v>105.13800000000001</v>
      </c>
      <c r="U14" s="183">
        <f>+T14*J14</f>
        <v>21027600</v>
      </c>
      <c r="V14" s="200">
        <f t="shared" si="1"/>
        <v>280.36800000000005</v>
      </c>
      <c r="W14" s="200">
        <f t="shared" si="2"/>
        <v>57545532</v>
      </c>
      <c r="X14" s="117">
        <f>+G14*0.2</f>
        <v>70.092000000000013</v>
      </c>
      <c r="Y14" s="118">
        <f>+X14*J14</f>
        <v>14018400.000000002</v>
      </c>
      <c r="Z14" s="118">
        <f>+W14+Y14</f>
        <v>71563932</v>
      </c>
    </row>
    <row r="15" spans="1:26" ht="65.25" customHeight="1" x14ac:dyDescent="0.25">
      <c r="A15" s="6">
        <v>7</v>
      </c>
      <c r="B15" s="243" t="s">
        <v>554</v>
      </c>
      <c r="C15" s="30" t="s">
        <v>149</v>
      </c>
      <c r="D15" s="1" t="s">
        <v>148</v>
      </c>
      <c r="E15" s="2" t="s">
        <v>150</v>
      </c>
      <c r="F15" s="168" t="s">
        <v>151</v>
      </c>
      <c r="G15" s="198">
        <f>+'Detalle Caminos'!D98</f>
        <v>120</v>
      </c>
      <c r="H15" s="39"/>
      <c r="I15" s="172">
        <v>6000</v>
      </c>
      <c r="J15" s="172">
        <v>300000</v>
      </c>
      <c r="K15" s="182">
        <f t="shared" si="0"/>
        <v>36720000</v>
      </c>
      <c r="L15" s="184"/>
      <c r="M15" s="184"/>
      <c r="N15" s="183"/>
      <c r="O15" s="183">
        <f>+I15*G15</f>
        <v>720000</v>
      </c>
      <c r="P15" s="183">
        <f>+G15*0.4</f>
        <v>48</v>
      </c>
      <c r="Q15" s="183">
        <f>+P15*J15</f>
        <v>14400000</v>
      </c>
      <c r="R15" s="183">
        <f>+G15*0.4</f>
        <v>48</v>
      </c>
      <c r="S15" s="183">
        <f>+R15*J15</f>
        <v>14400000</v>
      </c>
      <c r="T15" s="183">
        <f>+G15*0.2</f>
        <v>24</v>
      </c>
      <c r="U15" s="183">
        <f>+T15*J15</f>
        <v>7200000</v>
      </c>
      <c r="V15" s="200">
        <f t="shared" si="1"/>
        <v>120</v>
      </c>
      <c r="W15" s="200">
        <f t="shared" si="2"/>
        <v>36720000</v>
      </c>
    </row>
    <row r="16" spans="1:26" ht="73.5" customHeight="1" x14ac:dyDescent="0.25">
      <c r="A16" s="6">
        <v>8</v>
      </c>
      <c r="B16" s="211" t="s">
        <v>555</v>
      </c>
      <c r="C16" s="30" t="s">
        <v>515</v>
      </c>
      <c r="D16" s="3" t="s">
        <v>13</v>
      </c>
      <c r="E16" s="2" t="s">
        <v>9</v>
      </c>
      <c r="F16" s="168" t="s">
        <v>557</v>
      </c>
      <c r="G16" s="198">
        <f>+'Detalle Caminos'!D108</f>
        <v>186.21</v>
      </c>
      <c r="H16" s="39"/>
      <c r="I16" s="172">
        <v>4200</v>
      </c>
      <c r="J16" s="172">
        <v>220000</v>
      </c>
      <c r="K16" s="182">
        <f t="shared" si="0"/>
        <v>41748282</v>
      </c>
      <c r="L16" s="184"/>
      <c r="M16" s="184"/>
      <c r="N16" s="183"/>
      <c r="O16" s="183"/>
      <c r="P16" s="183">
        <f>+G16*0.3</f>
        <v>55.863</v>
      </c>
      <c r="Q16" s="183">
        <f>+(G16*I16)+P16*J16</f>
        <v>13071942</v>
      </c>
      <c r="R16" s="183">
        <f>+G16*0.4</f>
        <v>74.484000000000009</v>
      </c>
      <c r="S16" s="183">
        <f>+R16*J16</f>
        <v>16386480.000000002</v>
      </c>
      <c r="T16" s="183">
        <f>+G16*0.3</f>
        <v>55.863</v>
      </c>
      <c r="U16" s="183">
        <f>+T16*J16</f>
        <v>12289860</v>
      </c>
      <c r="V16" s="200">
        <f t="shared" si="1"/>
        <v>186.21</v>
      </c>
      <c r="W16" s="200">
        <f t="shared" si="2"/>
        <v>41748282</v>
      </c>
    </row>
    <row r="17" spans="1:27" ht="73.5" customHeight="1" x14ac:dyDescent="0.25">
      <c r="A17" s="6">
        <v>9</v>
      </c>
      <c r="B17" s="243" t="s">
        <v>554</v>
      </c>
      <c r="C17" s="1" t="s">
        <v>161</v>
      </c>
      <c r="D17" s="1" t="s">
        <v>18</v>
      </c>
      <c r="E17" s="2" t="s">
        <v>197</v>
      </c>
      <c r="F17" s="168" t="s">
        <v>198</v>
      </c>
      <c r="G17" s="198">
        <f>+'Detalle Caminos'!D114</f>
        <v>175.29</v>
      </c>
      <c r="H17" s="39"/>
      <c r="I17" s="172">
        <v>6000</v>
      </c>
      <c r="J17" s="172">
        <v>300000</v>
      </c>
      <c r="K17" s="182">
        <f t="shared" si="0"/>
        <v>53638740</v>
      </c>
      <c r="L17" s="184"/>
      <c r="M17" s="184"/>
      <c r="N17" s="183"/>
      <c r="O17" s="183">
        <f>+G17*I17*0.2</f>
        <v>210348</v>
      </c>
      <c r="P17" s="183">
        <f>+G17*0.2</f>
        <v>35.058</v>
      </c>
      <c r="Q17" s="183">
        <f>+(P17*J17)+(G17*I17*0.8)</f>
        <v>11358792</v>
      </c>
      <c r="R17" s="183">
        <f>+G17*0.5</f>
        <v>87.644999999999996</v>
      </c>
      <c r="S17" s="183">
        <f>+R17*J17</f>
        <v>26293500</v>
      </c>
      <c r="T17" s="183">
        <f>+G17*0.3</f>
        <v>52.586999999999996</v>
      </c>
      <c r="U17" s="183">
        <f>+T17*J17</f>
        <v>15776099.999999998</v>
      </c>
      <c r="V17" s="200">
        <f t="shared" si="1"/>
        <v>175.29</v>
      </c>
      <c r="W17" s="200">
        <f t="shared" si="2"/>
        <v>53638740</v>
      </c>
    </row>
    <row r="18" spans="1:27" x14ac:dyDescent="0.25">
      <c r="A18" s="6"/>
      <c r="B18" s="321" t="s">
        <v>19</v>
      </c>
      <c r="C18" s="322"/>
      <c r="D18" s="322"/>
      <c r="E18" s="322"/>
      <c r="F18" s="322"/>
      <c r="G18" s="177">
        <f>+SUM(G9:G17)</f>
        <v>1635.2331800000002</v>
      </c>
      <c r="H18" s="40">
        <f>+SUM(H9:H17)</f>
        <v>210620580</v>
      </c>
      <c r="I18" s="173"/>
      <c r="J18" s="173"/>
      <c r="K18" s="185">
        <f>SUM(K9:K17)</f>
        <v>350181763.80000001</v>
      </c>
      <c r="L18" s="186">
        <f t="shared" ref="L18:U18" si="3">SUM(L9:L17)</f>
        <v>92.043876999999995</v>
      </c>
      <c r="M18" s="186">
        <f t="shared" si="3"/>
        <v>12512886.32</v>
      </c>
      <c r="N18" s="186">
        <f t="shared" si="3"/>
        <v>241.51371700000001</v>
      </c>
      <c r="O18" s="186">
        <f t="shared" si="3"/>
        <v>43501562.719999999</v>
      </c>
      <c r="P18" s="186">
        <f t="shared" si="3"/>
        <v>423.61658600000004</v>
      </c>
      <c r="Q18" s="186">
        <f t="shared" si="3"/>
        <v>94725374.75999999</v>
      </c>
      <c r="R18" s="186">
        <f t="shared" si="3"/>
        <v>452.63499999999999</v>
      </c>
      <c r="S18" s="186">
        <f t="shared" si="3"/>
        <v>105581180</v>
      </c>
      <c r="T18" s="186">
        <f t="shared" si="3"/>
        <v>355.33199999999999</v>
      </c>
      <c r="U18" s="186">
        <f t="shared" si="3"/>
        <v>79842360</v>
      </c>
      <c r="V18" s="201">
        <f t="shared" ref="V18" si="4">SUM(V9:V17)</f>
        <v>1565.1411800000001</v>
      </c>
      <c r="W18" s="201">
        <f t="shared" ref="W18" si="5">SUM(W9:W17)</f>
        <v>336163363.80000001</v>
      </c>
      <c r="X18" s="120">
        <f>SUM(X9:X17)</f>
        <v>70.092000000000013</v>
      </c>
      <c r="Y18" s="119">
        <f>SUM(Y9:Y17)</f>
        <v>14018400.000000002</v>
      </c>
      <c r="Z18" s="119">
        <f>+W18+Y18</f>
        <v>350181763.80000001</v>
      </c>
      <c r="AA18" s="112"/>
    </row>
    <row r="19" spans="1:27" ht="63.75" customHeight="1" x14ac:dyDescent="0.25">
      <c r="A19" s="6">
        <v>11</v>
      </c>
      <c r="B19" s="243" t="s">
        <v>554</v>
      </c>
      <c r="C19" s="1" t="s">
        <v>184</v>
      </c>
      <c r="D19" s="3" t="s">
        <v>18</v>
      </c>
      <c r="E19" s="2" t="s">
        <v>10</v>
      </c>
      <c r="F19" s="168" t="s">
        <v>185</v>
      </c>
      <c r="G19" s="176">
        <f>+'Detalle Caminos'!D146</f>
        <v>1620</v>
      </c>
      <c r="H19" s="39">
        <v>360000000</v>
      </c>
      <c r="I19" s="172">
        <f>+(4800)</f>
        <v>4800</v>
      </c>
      <c r="J19" s="172">
        <v>300000</v>
      </c>
      <c r="K19" s="182">
        <f>+G19*(I19+J19)</f>
        <v>493776000</v>
      </c>
      <c r="L19" s="184"/>
      <c r="M19" s="184"/>
      <c r="N19" s="183">
        <f>+G19*O33</f>
        <v>0</v>
      </c>
      <c r="O19" s="183">
        <f>+N19*(I19+J19)</f>
        <v>0</v>
      </c>
      <c r="P19" s="183">
        <f>+G19*Q33</f>
        <v>0</v>
      </c>
      <c r="Q19" s="183">
        <f>+P19*(I19+J19)</f>
        <v>0</v>
      </c>
      <c r="R19" s="183">
        <f>+G19*S33</f>
        <v>0</v>
      </c>
      <c r="S19" s="183">
        <f>+R19*(I19+J19)</f>
        <v>0</v>
      </c>
      <c r="T19" s="183">
        <f>+G19*U33</f>
        <v>0</v>
      </c>
      <c r="U19" s="183">
        <f>+T19*(I19+J19)</f>
        <v>0</v>
      </c>
      <c r="V19" s="200">
        <f>+N19+P19+R19+T19</f>
        <v>0</v>
      </c>
      <c r="W19" s="200">
        <f>+O19+Q19+S19+U19</f>
        <v>0</v>
      </c>
    </row>
    <row r="20" spans="1:27" x14ac:dyDescent="0.25">
      <c r="A20" s="6"/>
      <c r="B20" s="321" t="s">
        <v>20</v>
      </c>
      <c r="C20" s="322"/>
      <c r="D20" s="322"/>
      <c r="E20" s="322"/>
      <c r="F20" s="322"/>
      <c r="G20" s="178">
        <f>+SUM(G19:G19)</f>
        <v>1620</v>
      </c>
      <c r="H20" s="41">
        <v>746602871</v>
      </c>
      <c r="I20" s="42"/>
      <c r="J20" s="42"/>
      <c r="K20" s="187">
        <f>SUM(K19)</f>
        <v>493776000</v>
      </c>
      <c r="L20" s="187">
        <f t="shared" ref="L20:W20" si="6">SUM(L19)</f>
        <v>0</v>
      </c>
      <c r="M20" s="187">
        <f t="shared" si="6"/>
        <v>0</v>
      </c>
      <c r="N20" s="188">
        <f t="shared" si="6"/>
        <v>0</v>
      </c>
      <c r="O20" s="187">
        <f t="shared" si="6"/>
        <v>0</v>
      </c>
      <c r="P20" s="188">
        <f t="shared" si="6"/>
        <v>0</v>
      </c>
      <c r="Q20" s="187">
        <f t="shared" si="6"/>
        <v>0</v>
      </c>
      <c r="R20" s="188">
        <f t="shared" si="6"/>
        <v>0</v>
      </c>
      <c r="S20" s="187">
        <f t="shared" si="6"/>
        <v>0</v>
      </c>
      <c r="T20" s="188">
        <f t="shared" si="6"/>
        <v>0</v>
      </c>
      <c r="U20" s="187">
        <f t="shared" si="6"/>
        <v>0</v>
      </c>
      <c r="V20" s="202">
        <f t="shared" si="6"/>
        <v>0</v>
      </c>
      <c r="W20" s="203">
        <f t="shared" si="6"/>
        <v>0</v>
      </c>
      <c r="Z20" s="133">
        <f>+W20+Y20</f>
        <v>0</v>
      </c>
      <c r="AA20" s="112"/>
    </row>
    <row r="21" spans="1:27" ht="15.75" thickBot="1" x14ac:dyDescent="0.3">
      <c r="G21" s="192"/>
      <c r="H21" s="193"/>
    </row>
    <row r="22" spans="1:27" ht="15.75" customHeight="1" thickBot="1" x14ac:dyDescent="0.3">
      <c r="A22" s="306" t="s">
        <v>120</v>
      </c>
      <c r="B22" s="307"/>
      <c r="C22" s="307"/>
      <c r="D22" s="307"/>
      <c r="E22" s="307"/>
      <c r="F22" s="308"/>
      <c r="G22" s="194">
        <f>+G18+G20</f>
        <v>3255.2331800000002</v>
      </c>
      <c r="H22" s="195"/>
      <c r="I22" s="195"/>
      <c r="J22" s="195"/>
      <c r="K22" s="196">
        <f>+K18+K20</f>
        <v>843957763.79999995</v>
      </c>
      <c r="L22" s="196">
        <f t="shared" ref="L22:W22" si="7">+L18+L20</f>
        <v>92.043876999999995</v>
      </c>
      <c r="M22" s="196">
        <f t="shared" si="7"/>
        <v>12512886.32</v>
      </c>
      <c r="N22" s="196">
        <f t="shared" si="7"/>
        <v>241.51371700000001</v>
      </c>
      <c r="O22" s="196">
        <f t="shared" si="7"/>
        <v>43501562.719999999</v>
      </c>
      <c r="P22" s="196">
        <f t="shared" si="7"/>
        <v>423.61658600000004</v>
      </c>
      <c r="Q22" s="196">
        <f t="shared" si="7"/>
        <v>94725374.75999999</v>
      </c>
      <c r="R22" s="196">
        <f t="shared" si="7"/>
        <v>452.63499999999999</v>
      </c>
      <c r="S22" s="196">
        <f t="shared" si="7"/>
        <v>105581180</v>
      </c>
      <c r="T22" s="196">
        <f t="shared" si="7"/>
        <v>355.33199999999999</v>
      </c>
      <c r="U22" s="196">
        <f t="shared" si="7"/>
        <v>79842360</v>
      </c>
      <c r="V22" s="196">
        <f t="shared" si="7"/>
        <v>1565.1411800000001</v>
      </c>
      <c r="W22" s="197">
        <f t="shared" si="7"/>
        <v>336163363.80000001</v>
      </c>
      <c r="X22" s="130"/>
      <c r="Y22" s="131"/>
      <c r="Z22" s="129">
        <f>+Z18+Z20</f>
        <v>350181763.80000001</v>
      </c>
      <c r="AA22" s="132"/>
    </row>
    <row r="23" spans="1:27" s="55" customFormat="1" ht="15.75" customHeight="1" thickBot="1" x14ac:dyDescent="0.3">
      <c r="A23" s="296"/>
      <c r="B23" s="296"/>
      <c r="C23" s="296"/>
      <c r="D23" s="296"/>
      <c r="E23" s="296"/>
      <c r="F23" s="296"/>
      <c r="G23" s="297"/>
      <c r="H23" s="298"/>
      <c r="I23" s="298"/>
      <c r="J23" s="298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300"/>
      <c r="Y23" s="301"/>
      <c r="Z23" s="301"/>
      <c r="AA23" s="142"/>
    </row>
    <row r="24" spans="1:27" ht="45.75" thickBot="1" x14ac:dyDescent="0.3">
      <c r="F24" s="446" t="s">
        <v>572</v>
      </c>
      <c r="G24" s="305">
        <f>+(G9+G10+G11+G13+G16)/G22</f>
        <v>0.25813455858176032</v>
      </c>
      <c r="K24" s="332"/>
      <c r="L24" s="332"/>
      <c r="N24" s="126"/>
      <c r="O24" s="112"/>
      <c r="P24" s="126"/>
      <c r="Q24" s="112"/>
      <c r="W24" s="112"/>
    </row>
    <row r="25" spans="1:27" x14ac:dyDescent="0.25">
      <c r="D25" s="283"/>
      <c r="E25" s="283"/>
      <c r="F25" s="284" t="s">
        <v>563</v>
      </c>
      <c r="G25" s="302">
        <f>+G9+G10+G11+G12+G13+G14</f>
        <v>1153.7331800000002</v>
      </c>
      <c r="K25" s="281"/>
      <c r="L25" s="134"/>
      <c r="N25" s="126"/>
      <c r="O25" s="126"/>
      <c r="P25" s="113"/>
      <c r="Q25" s="113"/>
      <c r="R25" s="113"/>
      <c r="S25" s="113"/>
      <c r="T25" s="113"/>
      <c r="U25" s="112"/>
      <c r="V25" s="112"/>
      <c r="W25" s="112"/>
    </row>
    <row r="26" spans="1:27" x14ac:dyDescent="0.25">
      <c r="D26" s="283"/>
      <c r="E26" s="283"/>
      <c r="F26" s="286" t="s">
        <v>564</v>
      </c>
      <c r="G26" s="303">
        <f>+G19+G17+G15+G16</f>
        <v>2101.5</v>
      </c>
      <c r="N26" s="126"/>
      <c r="O26" s="112"/>
      <c r="P26" s="112"/>
      <c r="Q26" s="112"/>
      <c r="R26" s="112"/>
      <c r="S26" s="112"/>
      <c r="T26" s="112"/>
      <c r="U26" s="112"/>
      <c r="V26" s="112"/>
      <c r="W26" s="112"/>
      <c r="Z26" s="112"/>
    </row>
    <row r="27" spans="1:27" ht="15.75" thickBot="1" x14ac:dyDescent="0.3">
      <c r="D27" s="283"/>
      <c r="E27" s="283"/>
      <c r="F27" s="288" t="s">
        <v>565</v>
      </c>
      <c r="G27" s="304">
        <f>+G26+G25</f>
        <v>3255.2331800000002</v>
      </c>
      <c r="K27" s="282"/>
      <c r="N27" s="126"/>
      <c r="O27" s="127"/>
      <c r="P27" s="127"/>
      <c r="Q27" s="127"/>
      <c r="R27" s="127"/>
      <c r="S27" s="127"/>
      <c r="T27" s="127"/>
      <c r="U27" s="127"/>
      <c r="V27" s="127"/>
      <c r="W27" s="127"/>
    </row>
    <row r="29" spans="1:27" x14ac:dyDescent="0.25">
      <c r="O29" s="127"/>
      <c r="P29" s="127"/>
      <c r="Q29" s="127"/>
      <c r="R29" s="127"/>
      <c r="S29" s="127"/>
      <c r="T29" s="127"/>
      <c r="U29" s="127"/>
      <c r="V29" s="127"/>
      <c r="W29" s="127"/>
    </row>
    <row r="30" spans="1:27" x14ac:dyDescent="0.25">
      <c r="K30" s="332"/>
      <c r="L30" s="332"/>
      <c r="N30" s="126"/>
      <c r="O30" s="112"/>
      <c r="P30" s="126"/>
      <c r="Q30" s="112"/>
      <c r="W30" s="112"/>
    </row>
    <row r="31" spans="1:27" x14ac:dyDescent="0.25">
      <c r="K31" s="332"/>
      <c r="L31" s="332"/>
      <c r="P31" s="125"/>
      <c r="Q31" s="113"/>
      <c r="R31" s="113"/>
      <c r="S31" s="113"/>
      <c r="T31" s="113"/>
      <c r="U31" s="113"/>
      <c r="V31" s="113"/>
      <c r="W31" s="113"/>
    </row>
    <row r="32" spans="1:27" x14ac:dyDescent="0.25">
      <c r="O32" s="112"/>
      <c r="P32" s="112"/>
      <c r="Q32" s="112"/>
      <c r="R32" s="112"/>
      <c r="S32" s="112"/>
      <c r="T32" s="112"/>
      <c r="U32" s="112"/>
      <c r="W32" s="112"/>
    </row>
    <row r="33" spans="15:23" x14ac:dyDescent="0.25">
      <c r="O33" s="127"/>
      <c r="P33" s="127"/>
      <c r="Q33" s="127"/>
      <c r="R33" s="127"/>
      <c r="S33" s="127"/>
      <c r="T33" s="127"/>
      <c r="U33" s="127"/>
      <c r="V33" s="127"/>
      <c r="W33" s="128"/>
    </row>
  </sheetData>
  <mergeCells count="25">
    <mergeCell ref="K24:L24"/>
    <mergeCell ref="K30:L30"/>
    <mergeCell ref="K31:L31"/>
    <mergeCell ref="I7:I8"/>
    <mergeCell ref="J7:J8"/>
    <mergeCell ref="K6:K8"/>
    <mergeCell ref="I6:J6"/>
    <mergeCell ref="A4:H4"/>
    <mergeCell ref="B18:F18"/>
    <mergeCell ref="B20:F20"/>
    <mergeCell ref="D7:D8"/>
    <mergeCell ref="C7:C8"/>
    <mergeCell ref="A7:A8"/>
    <mergeCell ref="B7:B8"/>
    <mergeCell ref="E7:E8"/>
    <mergeCell ref="F7:F8"/>
    <mergeCell ref="G7:G8"/>
    <mergeCell ref="A22:F22"/>
    <mergeCell ref="V7:W7"/>
    <mergeCell ref="L6:W6"/>
    <mergeCell ref="L7:M7"/>
    <mergeCell ref="N7:O7"/>
    <mergeCell ref="P7:Q7"/>
    <mergeCell ref="R7:S7"/>
    <mergeCell ref="T7:U7"/>
  </mergeCells>
  <printOptions horizontalCentered="1"/>
  <pageMargins left="0.35433070866141736" right="0.1574803149606299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118" workbookViewId="0">
      <selection activeCell="D3" sqref="D3"/>
    </sheetView>
  </sheetViews>
  <sheetFormatPr defaultColWidth="11.42578125" defaultRowHeight="12.75" x14ac:dyDescent="0.25"/>
  <cols>
    <col min="1" max="1" width="14.140625" style="7" customWidth="1"/>
    <col min="2" max="2" width="80.28515625" style="7" customWidth="1"/>
    <col min="3" max="3" width="13.140625" style="7" customWidth="1"/>
    <col min="4" max="4" width="12.85546875" style="13" customWidth="1"/>
    <col min="5" max="5" width="14.7109375" style="7" hidden="1" customWidth="1"/>
    <col min="6" max="6" width="13.140625" style="204" hidden="1" customWidth="1"/>
    <col min="7" max="7" width="19.42578125" style="204" hidden="1" customWidth="1"/>
    <col min="8" max="8" width="22.7109375" style="7" hidden="1" customWidth="1"/>
    <col min="9" max="9" width="0" style="7" hidden="1" customWidth="1"/>
    <col min="10" max="16384" width="11.42578125" style="7"/>
  </cols>
  <sheetData>
    <row r="1" spans="1:7" customFormat="1" ht="15" x14ac:dyDescent="0.25">
      <c r="A1" s="5" t="s">
        <v>21</v>
      </c>
      <c r="B1" s="5"/>
      <c r="D1" s="174" t="s">
        <v>553</v>
      </c>
      <c r="F1" s="75"/>
      <c r="G1" s="75"/>
    </row>
    <row r="2" spans="1:7" customFormat="1" ht="15" x14ac:dyDescent="0.25">
      <c r="A2" s="5" t="s">
        <v>552</v>
      </c>
      <c r="B2" s="5"/>
      <c r="D2" s="174" t="s">
        <v>570</v>
      </c>
      <c r="F2" s="75"/>
      <c r="G2" s="75"/>
    </row>
    <row r="3" spans="1:7" customFormat="1" ht="15.75" thickBot="1" x14ac:dyDescent="0.3">
      <c r="A3" s="210"/>
      <c r="F3" s="75"/>
      <c r="G3" s="75"/>
    </row>
    <row r="4" spans="1:7" customFormat="1" ht="26.25" customHeight="1" thickBot="1" x14ac:dyDescent="0.3">
      <c r="A4" s="318" t="s">
        <v>22</v>
      </c>
      <c r="B4" s="319"/>
      <c r="C4" s="319"/>
      <c r="D4" s="320"/>
      <c r="E4" s="15"/>
      <c r="F4" s="15"/>
      <c r="G4" s="15"/>
    </row>
    <row r="6" spans="1:7" ht="18.75" x14ac:dyDescent="0.25">
      <c r="A6" s="353" t="s">
        <v>119</v>
      </c>
      <c r="B6" s="353"/>
      <c r="C6" s="353"/>
      <c r="D6" s="353"/>
    </row>
    <row r="8" spans="1:7" ht="26.25" thickBot="1" x14ac:dyDescent="0.3">
      <c r="A8" s="153" t="s">
        <v>25</v>
      </c>
      <c r="B8" s="213" t="s">
        <v>26</v>
      </c>
      <c r="C8" s="214" t="s">
        <v>166</v>
      </c>
      <c r="D8" s="214" t="s">
        <v>106</v>
      </c>
    </row>
    <row r="9" spans="1:7" ht="12.75" customHeight="1" x14ac:dyDescent="0.25">
      <c r="A9" s="355" t="s">
        <v>130</v>
      </c>
      <c r="B9" s="356"/>
      <c r="C9" s="356"/>
      <c r="D9" s="357"/>
    </row>
    <row r="10" spans="1:7" x14ac:dyDescent="0.25">
      <c r="A10" s="358" t="s">
        <v>27</v>
      </c>
      <c r="B10" s="8" t="s">
        <v>28</v>
      </c>
      <c r="C10" s="20">
        <v>25.071999999999999</v>
      </c>
      <c r="D10" s="354">
        <f>+C10+C11</f>
        <v>40.293999999999997</v>
      </c>
    </row>
    <row r="11" spans="1:7" x14ac:dyDescent="0.25">
      <c r="A11" s="358"/>
      <c r="B11" s="9" t="s">
        <v>29</v>
      </c>
      <c r="C11" s="20">
        <f>14.422+0.8</f>
        <v>15.222000000000001</v>
      </c>
      <c r="D11" s="354"/>
    </row>
    <row r="12" spans="1:7" ht="13.5" thickBot="1" x14ac:dyDescent="0.3">
      <c r="A12" s="215"/>
      <c r="B12" s="216" t="s">
        <v>107</v>
      </c>
      <c r="C12" s="217">
        <f>SUM(C10:C11)</f>
        <v>40.293999999999997</v>
      </c>
      <c r="D12" s="218">
        <f>+D10</f>
        <v>40.293999999999997</v>
      </c>
    </row>
    <row r="13" spans="1:7" ht="12.75" customHeight="1" x14ac:dyDescent="0.25">
      <c r="A13" s="355" t="s">
        <v>131</v>
      </c>
      <c r="B13" s="356"/>
      <c r="C13" s="356"/>
      <c r="D13" s="357"/>
    </row>
    <row r="14" spans="1:7" x14ac:dyDescent="0.25">
      <c r="A14" s="349" t="s">
        <v>32</v>
      </c>
      <c r="B14" s="9" t="s">
        <v>30</v>
      </c>
      <c r="C14" s="20">
        <v>28.652000000000001</v>
      </c>
      <c r="D14" s="354">
        <f>+SUM(C14:C15)</f>
        <v>50.152000000000001</v>
      </c>
    </row>
    <row r="15" spans="1:7" x14ac:dyDescent="0.25">
      <c r="A15" s="349"/>
      <c r="B15" s="9" t="s">
        <v>31</v>
      </c>
      <c r="C15" s="20">
        <v>21.5</v>
      </c>
      <c r="D15" s="354"/>
    </row>
    <row r="16" spans="1:7" x14ac:dyDescent="0.25">
      <c r="A16" s="349" t="s">
        <v>38</v>
      </c>
      <c r="B16" s="9" t="s">
        <v>33</v>
      </c>
      <c r="C16" s="20">
        <v>24.5</v>
      </c>
      <c r="D16" s="354">
        <f>+SUM(C16:C17)</f>
        <v>48.76</v>
      </c>
    </row>
    <row r="17" spans="1:7" x14ac:dyDescent="0.25">
      <c r="A17" s="349"/>
      <c r="B17" s="9" t="s">
        <v>34</v>
      </c>
      <c r="C17" s="20">
        <v>24.259999999999998</v>
      </c>
      <c r="D17" s="354"/>
    </row>
    <row r="18" spans="1:7" x14ac:dyDescent="0.25">
      <c r="A18" s="349" t="s">
        <v>39</v>
      </c>
      <c r="B18" s="9" t="s">
        <v>35</v>
      </c>
      <c r="C18" s="20">
        <v>23.81</v>
      </c>
      <c r="D18" s="354">
        <f>+SUM(C18:C19)</f>
        <v>28.350179999999998</v>
      </c>
    </row>
    <row r="19" spans="1:7" x14ac:dyDescent="0.25">
      <c r="A19" s="349"/>
      <c r="B19" s="9" t="s">
        <v>36</v>
      </c>
      <c r="C19" s="20">
        <v>4.5401800000000003</v>
      </c>
      <c r="D19" s="354"/>
    </row>
    <row r="20" spans="1:7" x14ac:dyDescent="0.25">
      <c r="A20" s="219" t="s">
        <v>40</v>
      </c>
      <c r="B20" s="9" t="s">
        <v>37</v>
      </c>
      <c r="C20" s="20">
        <v>17.541999999999998</v>
      </c>
      <c r="D20" s="220">
        <f>+C20</f>
        <v>17.541999999999998</v>
      </c>
    </row>
    <row r="21" spans="1:7" ht="13.5" thickBot="1" x14ac:dyDescent="0.3">
      <c r="A21" s="215"/>
      <c r="B21" s="216" t="s">
        <v>108</v>
      </c>
      <c r="C21" s="217">
        <f>SUM(C14:C20)</f>
        <v>144.80418</v>
      </c>
      <c r="D21" s="218">
        <f>+SUM(D14:D20)</f>
        <v>144.80418</v>
      </c>
    </row>
    <row r="22" spans="1:7" ht="12.75" customHeight="1" x14ac:dyDescent="0.25">
      <c r="A22" s="355" t="s">
        <v>133</v>
      </c>
      <c r="B22" s="356"/>
      <c r="C22" s="356"/>
      <c r="D22" s="357"/>
    </row>
    <row r="23" spans="1:7" x14ac:dyDescent="0.25">
      <c r="A23" s="369" t="s">
        <v>27</v>
      </c>
      <c r="B23" s="10" t="s">
        <v>42</v>
      </c>
      <c r="C23" s="152">
        <v>35.700000000000003</v>
      </c>
      <c r="D23" s="359">
        <f>+SUM(C23:C26)</f>
        <v>76.5</v>
      </c>
    </row>
    <row r="24" spans="1:7" x14ac:dyDescent="0.25">
      <c r="A24" s="369"/>
      <c r="B24" s="10" t="s">
        <v>43</v>
      </c>
      <c r="C24" s="152">
        <v>11</v>
      </c>
      <c r="D24" s="359"/>
    </row>
    <row r="25" spans="1:7" x14ac:dyDescent="0.25">
      <c r="A25" s="369"/>
      <c r="B25" s="10" t="s">
        <v>44</v>
      </c>
      <c r="C25" s="152">
        <v>3</v>
      </c>
      <c r="D25" s="359"/>
    </row>
    <row r="26" spans="1:7" x14ac:dyDescent="0.25">
      <c r="A26" s="369"/>
      <c r="B26" s="10" t="s">
        <v>45</v>
      </c>
      <c r="C26" s="152">
        <v>26.8</v>
      </c>
      <c r="D26" s="359"/>
    </row>
    <row r="27" spans="1:7" ht="15" customHeight="1" thickBot="1" x14ac:dyDescent="0.3">
      <c r="A27" s="378" t="s">
        <v>132</v>
      </c>
      <c r="B27" s="379"/>
      <c r="C27" s="221">
        <f>SUM(C23:C26)</f>
        <v>76.5</v>
      </c>
      <c r="D27" s="222">
        <f>+D23</f>
        <v>76.5</v>
      </c>
    </row>
    <row r="28" spans="1:7" ht="12.75" customHeight="1" x14ac:dyDescent="0.25">
      <c r="A28" s="342" t="s">
        <v>134</v>
      </c>
      <c r="B28" s="343"/>
      <c r="C28" s="343"/>
      <c r="D28" s="344"/>
    </row>
    <row r="29" spans="1:7" x14ac:dyDescent="0.25">
      <c r="A29" s="349" t="s">
        <v>50</v>
      </c>
      <c r="B29" s="23" t="s">
        <v>46</v>
      </c>
      <c r="C29" s="150">
        <v>2.14</v>
      </c>
      <c r="D29" s="354">
        <f>SUM(C29:C36)</f>
        <v>56.900000000000006</v>
      </c>
      <c r="F29" s="345"/>
      <c r="G29" s="345"/>
    </row>
    <row r="30" spans="1:7" x14ac:dyDescent="0.25">
      <c r="A30" s="349"/>
      <c r="B30" s="23" t="s">
        <v>47</v>
      </c>
      <c r="C30" s="360">
        <v>15.27</v>
      </c>
      <c r="D30" s="354"/>
    </row>
    <row r="31" spans="1:7" x14ac:dyDescent="0.25">
      <c r="A31" s="349"/>
      <c r="B31" s="23" t="s">
        <v>48</v>
      </c>
      <c r="C31" s="360"/>
      <c r="D31" s="354"/>
      <c r="F31" s="205"/>
      <c r="G31" s="205"/>
    </row>
    <row r="32" spans="1:7" x14ac:dyDescent="0.25">
      <c r="A32" s="349"/>
      <c r="B32" s="23" t="s">
        <v>49</v>
      </c>
      <c r="C32" s="150">
        <v>6.33</v>
      </c>
      <c r="D32" s="354"/>
      <c r="F32" s="205"/>
      <c r="G32" s="205"/>
    </row>
    <row r="33" spans="1:5" x14ac:dyDescent="0.25">
      <c r="A33" s="349"/>
      <c r="B33" s="24" t="s">
        <v>74</v>
      </c>
      <c r="C33" s="150">
        <v>3.48</v>
      </c>
      <c r="D33" s="354"/>
    </row>
    <row r="34" spans="1:5" x14ac:dyDescent="0.25">
      <c r="A34" s="349"/>
      <c r="B34" s="25" t="s">
        <v>75</v>
      </c>
      <c r="C34" s="150">
        <v>6.06</v>
      </c>
      <c r="D34" s="354"/>
    </row>
    <row r="35" spans="1:5" x14ac:dyDescent="0.25">
      <c r="A35" s="349"/>
      <c r="B35" s="24" t="s">
        <v>76</v>
      </c>
      <c r="C35" s="150">
        <v>13.2</v>
      </c>
      <c r="D35" s="354"/>
    </row>
    <row r="36" spans="1:5" x14ac:dyDescent="0.25">
      <c r="A36" s="349"/>
      <c r="B36" s="24" t="s">
        <v>101</v>
      </c>
      <c r="C36" s="150">
        <v>10.42</v>
      </c>
      <c r="D36" s="354"/>
    </row>
    <row r="37" spans="1:5" x14ac:dyDescent="0.25">
      <c r="A37" s="349" t="s">
        <v>57</v>
      </c>
      <c r="B37" s="22" t="s">
        <v>51</v>
      </c>
      <c r="C37" s="360">
        <f>+'[1]Obras JICA 1er llamado'!G14</f>
        <v>6.3869999999999996</v>
      </c>
      <c r="D37" s="354">
        <f>SUM(C37:C46)</f>
        <v>47.834999999999994</v>
      </c>
    </row>
    <row r="38" spans="1:5" x14ac:dyDescent="0.25">
      <c r="A38" s="349"/>
      <c r="B38" s="22" t="s">
        <v>52</v>
      </c>
      <c r="C38" s="360"/>
      <c r="D38" s="354"/>
    </row>
    <row r="39" spans="1:5" x14ac:dyDescent="0.25">
      <c r="A39" s="349"/>
      <c r="B39" s="22" t="s">
        <v>53</v>
      </c>
      <c r="C39" s="150">
        <v>3.798</v>
      </c>
      <c r="D39" s="354"/>
    </row>
    <row r="40" spans="1:5" x14ac:dyDescent="0.25">
      <c r="A40" s="349"/>
      <c r="B40" s="22" t="s">
        <v>54</v>
      </c>
      <c r="C40" s="150">
        <v>3.03</v>
      </c>
      <c r="D40" s="354"/>
    </row>
    <row r="41" spans="1:5" x14ac:dyDescent="0.25">
      <c r="A41" s="349"/>
      <c r="B41" s="21" t="s">
        <v>77</v>
      </c>
      <c r="C41" s="150">
        <v>7.51</v>
      </c>
      <c r="D41" s="354"/>
      <c r="E41" s="16"/>
    </row>
    <row r="42" spans="1:5" x14ac:dyDescent="0.25">
      <c r="A42" s="349"/>
      <c r="B42" s="21" t="s">
        <v>78</v>
      </c>
      <c r="C42" s="150">
        <v>6.59</v>
      </c>
      <c r="D42" s="354"/>
    </row>
    <row r="43" spans="1:5" x14ac:dyDescent="0.25">
      <c r="A43" s="349"/>
      <c r="B43" s="26" t="s">
        <v>93</v>
      </c>
      <c r="C43" s="150">
        <v>7.12</v>
      </c>
      <c r="D43" s="354"/>
    </row>
    <row r="44" spans="1:5" x14ac:dyDescent="0.25">
      <c r="A44" s="349"/>
      <c r="B44" s="21" t="s">
        <v>79</v>
      </c>
      <c r="C44" s="150">
        <v>4.4400000000000004</v>
      </c>
      <c r="D44" s="354"/>
    </row>
    <row r="45" spans="1:5" x14ac:dyDescent="0.25">
      <c r="A45" s="349"/>
      <c r="B45" s="21" t="s">
        <v>80</v>
      </c>
      <c r="C45" s="150">
        <v>4.93</v>
      </c>
      <c r="D45" s="354"/>
    </row>
    <row r="46" spans="1:5" x14ac:dyDescent="0.25">
      <c r="A46" s="349"/>
      <c r="B46" s="21" t="s">
        <v>81</v>
      </c>
      <c r="C46" s="150">
        <v>4.03</v>
      </c>
      <c r="D46" s="354"/>
    </row>
    <row r="47" spans="1:5" x14ac:dyDescent="0.25">
      <c r="A47" s="349" t="s">
        <v>62</v>
      </c>
      <c r="B47" s="21" t="s">
        <v>84</v>
      </c>
      <c r="C47" s="150">
        <v>6.52</v>
      </c>
      <c r="D47" s="354">
        <f>SUM(C47:C53)</f>
        <v>44.459999999999994</v>
      </c>
    </row>
    <row r="48" spans="1:5" x14ac:dyDescent="0.25">
      <c r="A48" s="349"/>
      <c r="B48" s="21" t="s">
        <v>85</v>
      </c>
      <c r="C48" s="150">
        <v>4.1500000000000004</v>
      </c>
      <c r="D48" s="354"/>
    </row>
    <row r="49" spans="1:8" x14ac:dyDescent="0.25">
      <c r="A49" s="349"/>
      <c r="B49" s="21" t="s">
        <v>86</v>
      </c>
      <c r="C49" s="150">
        <v>6.78</v>
      </c>
      <c r="D49" s="354"/>
    </row>
    <row r="50" spans="1:8" x14ac:dyDescent="0.25">
      <c r="A50" s="349"/>
      <c r="B50" s="21" t="s">
        <v>96</v>
      </c>
      <c r="C50" s="150">
        <v>4.17</v>
      </c>
      <c r="D50" s="354"/>
    </row>
    <row r="51" spans="1:8" x14ac:dyDescent="0.25">
      <c r="A51" s="349"/>
      <c r="B51" s="21" t="s">
        <v>99</v>
      </c>
      <c r="C51" s="150">
        <v>3.25</v>
      </c>
      <c r="D51" s="354"/>
    </row>
    <row r="52" spans="1:8" x14ac:dyDescent="0.25">
      <c r="A52" s="349"/>
      <c r="B52" s="27" t="s">
        <v>82</v>
      </c>
      <c r="C52" s="150">
        <v>14.62</v>
      </c>
      <c r="D52" s="354"/>
      <c r="E52" s="16"/>
    </row>
    <row r="53" spans="1:8" x14ac:dyDescent="0.25">
      <c r="A53" s="349"/>
      <c r="B53" s="21" t="s">
        <v>83</v>
      </c>
      <c r="C53" s="150">
        <v>4.97</v>
      </c>
      <c r="D53" s="354"/>
    </row>
    <row r="54" spans="1:8" ht="13.5" thickBot="1" x14ac:dyDescent="0.3">
      <c r="A54" s="215"/>
      <c r="B54" s="216" t="s">
        <v>109</v>
      </c>
      <c r="C54" s="217">
        <f>SUM(C29:C53)</f>
        <v>149.19500000000002</v>
      </c>
      <c r="D54" s="223">
        <f>SUM(D29:D53)</f>
        <v>149.19499999999999</v>
      </c>
      <c r="E54" s="206"/>
      <c r="F54" s="206"/>
      <c r="G54" s="207"/>
      <c r="H54" s="17"/>
    </row>
    <row r="55" spans="1:8" ht="12.75" customHeight="1" thickBot="1" x14ac:dyDescent="0.3">
      <c r="A55" s="355" t="s">
        <v>153</v>
      </c>
      <c r="B55" s="356"/>
      <c r="C55" s="356"/>
      <c r="D55" s="357"/>
    </row>
    <row r="56" spans="1:8" ht="13.9" customHeight="1" x14ac:dyDescent="0.25">
      <c r="A56" s="369" t="s">
        <v>88</v>
      </c>
      <c r="B56" s="11" t="s">
        <v>63</v>
      </c>
      <c r="C56" s="152">
        <v>42.86</v>
      </c>
      <c r="D56" s="368">
        <f>+SUM(C56:C58)</f>
        <v>80</v>
      </c>
      <c r="E56" s="362" t="s">
        <v>124</v>
      </c>
    </row>
    <row r="57" spans="1:8" x14ac:dyDescent="0.25">
      <c r="A57" s="369"/>
      <c r="B57" s="11" t="s">
        <v>64</v>
      </c>
      <c r="C57" s="152">
        <v>12.64</v>
      </c>
      <c r="D57" s="368"/>
      <c r="E57" s="363"/>
    </row>
    <row r="58" spans="1:8" x14ac:dyDescent="0.25">
      <c r="A58" s="369"/>
      <c r="B58" s="26" t="s">
        <v>142</v>
      </c>
      <c r="C58" s="152">
        <v>24.5</v>
      </c>
      <c r="D58" s="368"/>
      <c r="E58" s="363"/>
    </row>
    <row r="59" spans="1:8" x14ac:dyDescent="0.25">
      <c r="A59" s="369" t="s">
        <v>89</v>
      </c>
      <c r="B59" s="11" t="s">
        <v>65</v>
      </c>
      <c r="C59" s="152">
        <v>26.38</v>
      </c>
      <c r="D59" s="368">
        <f>+SUM(C59:C61)</f>
        <v>75.45</v>
      </c>
      <c r="E59" s="363"/>
      <c r="F59" s="345"/>
      <c r="G59" s="345"/>
      <c r="H59" s="16"/>
    </row>
    <row r="60" spans="1:8" x14ac:dyDescent="0.25">
      <c r="A60" s="369"/>
      <c r="B60" s="11" t="s">
        <v>69</v>
      </c>
      <c r="C60" s="152">
        <v>14.19</v>
      </c>
      <c r="D60" s="368"/>
      <c r="E60" s="363"/>
      <c r="F60" s="345"/>
      <c r="G60" s="345"/>
      <c r="H60" s="16"/>
    </row>
    <row r="61" spans="1:8" x14ac:dyDescent="0.25">
      <c r="A61" s="369"/>
      <c r="B61" s="11" t="s">
        <v>70</v>
      </c>
      <c r="C61" s="152">
        <v>34.880000000000003</v>
      </c>
      <c r="D61" s="368"/>
      <c r="E61" s="363"/>
      <c r="F61" s="345"/>
      <c r="G61" s="345"/>
      <c r="H61" s="16"/>
    </row>
    <row r="62" spans="1:8" x14ac:dyDescent="0.25">
      <c r="A62" s="365" t="s">
        <v>39</v>
      </c>
      <c r="B62" s="24" t="s">
        <v>143</v>
      </c>
      <c r="C62" s="150">
        <v>39.85</v>
      </c>
      <c r="D62" s="351">
        <f>+SUM(C62:C65)</f>
        <v>111.89</v>
      </c>
      <c r="E62" s="363"/>
      <c r="H62" s="16"/>
    </row>
    <row r="63" spans="1:8" x14ac:dyDescent="0.25">
      <c r="A63" s="366"/>
      <c r="B63" s="24" t="s">
        <v>144</v>
      </c>
      <c r="C63" s="150">
        <v>27.55</v>
      </c>
      <c r="D63" s="352"/>
      <c r="E63" s="363"/>
    </row>
    <row r="64" spans="1:8" x14ac:dyDescent="0.2">
      <c r="A64" s="366"/>
      <c r="B64" s="18" t="s">
        <v>138</v>
      </c>
      <c r="C64" s="150">
        <v>35.729999999999997</v>
      </c>
      <c r="D64" s="352"/>
      <c r="E64" s="363"/>
    </row>
    <row r="65" spans="1:9" x14ac:dyDescent="0.25">
      <c r="A65" s="367"/>
      <c r="B65" s="28" t="s">
        <v>136</v>
      </c>
      <c r="C65" s="150">
        <v>8.76</v>
      </c>
      <c r="D65" s="377"/>
      <c r="E65" s="363"/>
    </row>
    <row r="66" spans="1:9" x14ac:dyDescent="0.25">
      <c r="A66" s="349" t="s">
        <v>90</v>
      </c>
      <c r="B66" s="26" t="s">
        <v>87</v>
      </c>
      <c r="C66" s="150">
        <v>26.48</v>
      </c>
      <c r="D66" s="351">
        <f>+SUM(C66:C69)</f>
        <v>125.14000000000001</v>
      </c>
      <c r="E66" s="363"/>
    </row>
    <row r="67" spans="1:9" x14ac:dyDescent="0.25">
      <c r="A67" s="349"/>
      <c r="B67" s="26" t="s">
        <v>139</v>
      </c>
      <c r="C67" s="150">
        <v>70</v>
      </c>
      <c r="D67" s="352"/>
      <c r="E67" s="363"/>
    </row>
    <row r="68" spans="1:9" x14ac:dyDescent="0.25">
      <c r="A68" s="349"/>
      <c r="B68" s="11" t="s">
        <v>72</v>
      </c>
      <c r="C68" s="150">
        <v>24.07</v>
      </c>
      <c r="D68" s="352"/>
      <c r="E68" s="363"/>
    </row>
    <row r="69" spans="1:9" x14ac:dyDescent="0.25">
      <c r="A69" s="349"/>
      <c r="B69" s="11" t="s">
        <v>73</v>
      </c>
      <c r="C69" s="150">
        <v>4.59</v>
      </c>
      <c r="D69" s="352"/>
      <c r="E69" s="363"/>
    </row>
    <row r="70" spans="1:9" ht="13.5" thickBot="1" x14ac:dyDescent="0.3">
      <c r="A70" s="224"/>
      <c r="B70" s="225" t="s">
        <v>110</v>
      </c>
      <c r="C70" s="221">
        <f>SUM(C56:C69)</f>
        <v>392.47999999999996</v>
      </c>
      <c r="D70" s="226">
        <f>+SUM(D56:D69)</f>
        <v>392.48</v>
      </c>
      <c r="E70" s="245">
        <f>+D70</f>
        <v>392.48</v>
      </c>
      <c r="F70" s="206"/>
    </row>
    <row r="71" spans="1:9" x14ac:dyDescent="0.25">
      <c r="A71" s="342" t="s">
        <v>135</v>
      </c>
      <c r="B71" s="343"/>
      <c r="C71" s="343"/>
      <c r="D71" s="344"/>
      <c r="E71" s="19"/>
    </row>
    <row r="72" spans="1:9" ht="15" customHeight="1" x14ac:dyDescent="0.25">
      <c r="A72" s="361" t="s">
        <v>89</v>
      </c>
      <c r="B72" s="26" t="s">
        <v>66</v>
      </c>
      <c r="C72" s="150">
        <v>9.43</v>
      </c>
      <c r="D72" s="364">
        <f>SUM(C72:C75)</f>
        <v>81.88</v>
      </c>
      <c r="E72" s="347"/>
      <c r="F72" s="346"/>
      <c r="G72" s="346"/>
      <c r="H72" s="19"/>
      <c r="I72" s="19"/>
    </row>
    <row r="73" spans="1:9" x14ac:dyDescent="0.25">
      <c r="A73" s="361"/>
      <c r="B73" s="26" t="s">
        <v>67</v>
      </c>
      <c r="C73" s="150">
        <v>31.07</v>
      </c>
      <c r="D73" s="364"/>
      <c r="E73" s="347"/>
      <c r="F73" s="346"/>
      <c r="G73" s="346"/>
      <c r="H73" s="19"/>
      <c r="I73" s="19"/>
    </row>
    <row r="74" spans="1:9" x14ac:dyDescent="0.25">
      <c r="A74" s="361"/>
      <c r="B74" s="26" t="s">
        <v>68</v>
      </c>
      <c r="C74" s="150">
        <v>10.43</v>
      </c>
      <c r="D74" s="364"/>
      <c r="E74" s="347"/>
      <c r="F74" s="346"/>
      <c r="G74" s="346"/>
      <c r="H74" s="19"/>
      <c r="I74" s="19"/>
    </row>
    <row r="75" spans="1:9" x14ac:dyDescent="0.25">
      <c r="A75" s="361"/>
      <c r="B75" s="26" t="s">
        <v>71</v>
      </c>
      <c r="C75" s="150">
        <v>30.95</v>
      </c>
      <c r="D75" s="364"/>
      <c r="E75" s="347"/>
      <c r="F75" s="346"/>
      <c r="G75" s="346"/>
      <c r="H75" s="19"/>
      <c r="I75" s="19"/>
    </row>
    <row r="76" spans="1:9" ht="12.75" customHeight="1" x14ac:dyDescent="0.25">
      <c r="A76" s="349" t="s">
        <v>57</v>
      </c>
      <c r="B76" s="26" t="s">
        <v>91</v>
      </c>
      <c r="C76" s="150">
        <v>1.5</v>
      </c>
      <c r="D76" s="348">
        <f>+SUM(C76:C81)</f>
        <v>56.8</v>
      </c>
      <c r="E76" s="347"/>
      <c r="F76" s="346"/>
      <c r="G76" s="346"/>
      <c r="H76" s="47"/>
      <c r="I76" s="45"/>
    </row>
    <row r="77" spans="1:9" x14ac:dyDescent="0.25">
      <c r="A77" s="349"/>
      <c r="B77" s="26" t="s">
        <v>92</v>
      </c>
      <c r="C77" s="150">
        <v>9.1</v>
      </c>
      <c r="D77" s="348"/>
      <c r="E77" s="347"/>
      <c r="F77" s="346"/>
      <c r="G77" s="346"/>
      <c r="H77" s="47"/>
      <c r="I77" s="45"/>
    </row>
    <row r="78" spans="1:9" x14ac:dyDescent="0.25">
      <c r="A78" s="349"/>
      <c r="B78" s="22" t="s">
        <v>55</v>
      </c>
      <c r="C78" s="150">
        <v>9</v>
      </c>
      <c r="D78" s="348"/>
      <c r="E78" s="347"/>
      <c r="F78" s="346"/>
      <c r="G78" s="346"/>
      <c r="H78" s="46"/>
      <c r="I78" s="45"/>
    </row>
    <row r="79" spans="1:9" x14ac:dyDescent="0.25">
      <c r="A79" s="349"/>
      <c r="B79" s="22" t="s">
        <v>56</v>
      </c>
      <c r="C79" s="150">
        <v>5</v>
      </c>
      <c r="D79" s="348"/>
      <c r="E79" s="347"/>
      <c r="F79" s="346"/>
      <c r="G79" s="346"/>
      <c r="H79" s="47"/>
      <c r="I79" s="45"/>
    </row>
    <row r="80" spans="1:9" x14ac:dyDescent="0.25">
      <c r="A80" s="349"/>
      <c r="B80" s="11" t="s">
        <v>94</v>
      </c>
      <c r="C80" s="150">
        <v>20.2</v>
      </c>
      <c r="D80" s="348"/>
      <c r="E80" s="347"/>
      <c r="F80" s="346"/>
      <c r="G80" s="346"/>
      <c r="H80" s="46"/>
      <c r="I80" s="45"/>
    </row>
    <row r="81" spans="1:9" x14ac:dyDescent="0.25">
      <c r="A81" s="349"/>
      <c r="B81" s="11" t="s">
        <v>95</v>
      </c>
      <c r="C81" s="150">
        <v>12</v>
      </c>
      <c r="D81" s="348"/>
      <c r="E81" s="347"/>
      <c r="F81" s="346"/>
      <c r="G81" s="346"/>
      <c r="H81" s="47"/>
      <c r="I81" s="45"/>
    </row>
    <row r="82" spans="1:9" ht="15" customHeight="1" x14ac:dyDescent="0.25">
      <c r="A82" s="349" t="s">
        <v>62</v>
      </c>
      <c r="B82" s="22" t="s">
        <v>58</v>
      </c>
      <c r="C82" s="150">
        <v>8.1999999999999993</v>
      </c>
      <c r="D82" s="348">
        <f>+SUM(C82:C89)</f>
        <v>64.78</v>
      </c>
      <c r="E82" s="347"/>
      <c r="F82" s="346"/>
      <c r="G82" s="346"/>
      <c r="H82" s="19"/>
      <c r="I82" s="19"/>
    </row>
    <row r="83" spans="1:9" x14ac:dyDescent="0.25">
      <c r="A83" s="349"/>
      <c r="B83" s="22" t="s">
        <v>59</v>
      </c>
      <c r="C83" s="150">
        <v>3.9</v>
      </c>
      <c r="D83" s="348"/>
      <c r="E83" s="347"/>
      <c r="F83" s="346"/>
      <c r="G83" s="346"/>
      <c r="H83" s="19"/>
      <c r="I83" s="19"/>
    </row>
    <row r="84" spans="1:9" x14ac:dyDescent="0.25">
      <c r="A84" s="349"/>
      <c r="B84" s="22" t="s">
        <v>60</v>
      </c>
      <c r="C84" s="150">
        <v>11.4</v>
      </c>
      <c r="D84" s="348"/>
      <c r="E84" s="347"/>
      <c r="F84" s="346"/>
      <c r="G84" s="346"/>
      <c r="H84" s="19"/>
      <c r="I84" s="19"/>
    </row>
    <row r="85" spans="1:9" x14ac:dyDescent="0.25">
      <c r="A85" s="349"/>
      <c r="B85" s="22" t="s">
        <v>61</v>
      </c>
      <c r="C85" s="150">
        <v>7.5</v>
      </c>
      <c r="D85" s="348"/>
      <c r="E85" s="347"/>
      <c r="F85" s="346"/>
      <c r="G85" s="346"/>
      <c r="H85" s="19"/>
      <c r="I85" s="19"/>
    </row>
    <row r="86" spans="1:9" x14ac:dyDescent="0.25">
      <c r="A86" s="349"/>
      <c r="B86" s="21" t="s">
        <v>97</v>
      </c>
      <c r="C86" s="150">
        <v>3.6</v>
      </c>
      <c r="D86" s="348"/>
      <c r="E86" s="347"/>
      <c r="F86" s="346"/>
      <c r="G86" s="346"/>
      <c r="H86" s="19"/>
      <c r="I86" s="19"/>
    </row>
    <row r="87" spans="1:9" x14ac:dyDescent="0.25">
      <c r="A87" s="349"/>
      <c r="B87" s="49" t="s">
        <v>98</v>
      </c>
      <c r="C87" s="150">
        <v>13.1</v>
      </c>
      <c r="D87" s="348"/>
      <c r="E87" s="347"/>
      <c r="F87" s="346"/>
      <c r="G87" s="346"/>
      <c r="H87" s="19"/>
      <c r="I87" s="19"/>
    </row>
    <row r="88" spans="1:9" x14ac:dyDescent="0.25">
      <c r="A88" s="349"/>
      <c r="B88" s="246" t="s">
        <v>123</v>
      </c>
      <c r="C88" s="152">
        <f>17-3.42</f>
        <v>13.58</v>
      </c>
      <c r="D88" s="348"/>
      <c r="E88" s="347"/>
      <c r="F88" s="346"/>
      <c r="G88" s="346"/>
      <c r="H88" s="19"/>
      <c r="I88" s="19"/>
    </row>
    <row r="89" spans="1:9" x14ac:dyDescent="0.25">
      <c r="A89" s="349"/>
      <c r="B89" s="21" t="s">
        <v>100</v>
      </c>
      <c r="C89" s="150">
        <v>3.5</v>
      </c>
      <c r="D89" s="348"/>
      <c r="E89" s="347"/>
      <c r="F89" s="346"/>
      <c r="G89" s="346"/>
      <c r="H89" s="19"/>
      <c r="I89" s="19"/>
    </row>
    <row r="90" spans="1:9" ht="25.5" x14ac:dyDescent="0.2">
      <c r="A90" s="228" t="s">
        <v>188</v>
      </c>
      <c r="B90" s="18" t="s">
        <v>137</v>
      </c>
      <c r="C90" s="150">
        <v>70</v>
      </c>
      <c r="D90" s="149">
        <f>+C90</f>
        <v>70</v>
      </c>
      <c r="E90" s="347"/>
      <c r="F90" s="350"/>
      <c r="G90" s="350"/>
      <c r="H90" s="19"/>
      <c r="I90" s="19"/>
    </row>
    <row r="91" spans="1:9" x14ac:dyDescent="0.2">
      <c r="A91" s="361" t="s">
        <v>90</v>
      </c>
      <c r="B91" s="18" t="s">
        <v>141</v>
      </c>
      <c r="C91" s="150">
        <v>35</v>
      </c>
      <c r="D91" s="348">
        <f>SUM(C91:C92)</f>
        <v>77</v>
      </c>
      <c r="E91" s="347"/>
      <c r="F91" s="350"/>
      <c r="G91" s="350"/>
      <c r="H91" s="19"/>
      <c r="I91" s="19"/>
    </row>
    <row r="92" spans="1:9" ht="15.75" customHeight="1" x14ac:dyDescent="0.2">
      <c r="A92" s="361"/>
      <c r="B92" s="18" t="s">
        <v>140</v>
      </c>
      <c r="C92" s="150">
        <v>42</v>
      </c>
      <c r="D92" s="348"/>
      <c r="E92" s="347"/>
      <c r="F92" s="350"/>
      <c r="G92" s="350"/>
      <c r="H92" s="19"/>
      <c r="I92" s="19"/>
    </row>
    <row r="93" spans="1:9" ht="13.5" thickBot="1" x14ac:dyDescent="0.3">
      <c r="A93" s="215"/>
      <c r="B93" s="216" t="s">
        <v>111</v>
      </c>
      <c r="C93" s="217">
        <f>SUM(C72:C92)</f>
        <v>350.46000000000004</v>
      </c>
      <c r="D93" s="223">
        <f>+SUM(D72:D92)</f>
        <v>350.46000000000004</v>
      </c>
      <c r="E93" s="244"/>
      <c r="F93" s="208"/>
      <c r="G93" s="209"/>
      <c r="H93" s="19"/>
      <c r="I93" s="19"/>
    </row>
    <row r="94" spans="1:9" x14ac:dyDescent="0.25">
      <c r="A94" s="342" t="s">
        <v>187</v>
      </c>
      <c r="B94" s="343"/>
      <c r="C94" s="343"/>
      <c r="D94" s="344"/>
      <c r="F94" s="208"/>
      <c r="G94" s="209"/>
      <c r="H94" s="19"/>
      <c r="I94" s="19"/>
    </row>
    <row r="95" spans="1:9" x14ac:dyDescent="0.25">
      <c r="A95" s="370" t="s">
        <v>154</v>
      </c>
      <c r="B95" s="229" t="s">
        <v>126</v>
      </c>
      <c r="C95" s="227">
        <v>42</v>
      </c>
      <c r="D95" s="371">
        <f>SUM(C95:C97)</f>
        <v>120</v>
      </c>
      <c r="F95" s="208"/>
      <c r="G95" s="209"/>
      <c r="H95" s="19"/>
      <c r="I95" s="19"/>
    </row>
    <row r="96" spans="1:9" x14ac:dyDescent="0.25">
      <c r="A96" s="370"/>
      <c r="B96" s="229" t="s">
        <v>127</v>
      </c>
      <c r="C96" s="227">
        <v>38</v>
      </c>
      <c r="D96" s="371"/>
      <c r="F96" s="206"/>
    </row>
    <row r="97" spans="1:9" x14ac:dyDescent="0.25">
      <c r="A97" s="370"/>
      <c r="B97" s="229" t="s">
        <v>128</v>
      </c>
      <c r="C97" s="227">
        <v>40</v>
      </c>
      <c r="D97" s="371"/>
      <c r="F97" s="206"/>
    </row>
    <row r="98" spans="1:9" ht="13.5" thickBot="1" x14ac:dyDescent="0.3">
      <c r="A98" s="224"/>
      <c r="B98" s="225" t="s">
        <v>112</v>
      </c>
      <c r="C98" s="221">
        <f>SUM(C95:C97)</f>
        <v>120</v>
      </c>
      <c r="D98" s="230">
        <f>+C98</f>
        <v>120</v>
      </c>
      <c r="F98" s="206"/>
    </row>
    <row r="99" spans="1:9" ht="12.75" customHeight="1" x14ac:dyDescent="0.25">
      <c r="A99" s="342" t="s">
        <v>186</v>
      </c>
      <c r="B99" s="343"/>
      <c r="C99" s="343"/>
      <c r="D99" s="344"/>
      <c r="E99" s="17"/>
      <c r="F99" s="207"/>
    </row>
    <row r="100" spans="1:9" x14ac:dyDescent="0.25">
      <c r="A100" s="370" t="s">
        <v>125</v>
      </c>
      <c r="B100" s="43" t="s">
        <v>155</v>
      </c>
      <c r="C100" s="44">
        <v>18</v>
      </c>
      <c r="D100" s="373">
        <f>SUM(C100:C101)</f>
        <v>48.42</v>
      </c>
      <c r="F100" s="206"/>
      <c r="G100" s="206"/>
      <c r="I100" s="17"/>
    </row>
    <row r="101" spans="1:9" x14ac:dyDescent="0.25">
      <c r="A101" s="370"/>
      <c r="B101" s="43" t="s">
        <v>156</v>
      </c>
      <c r="C101" s="44">
        <v>30.42</v>
      </c>
      <c r="D101" s="372"/>
      <c r="F101" s="206"/>
    </row>
    <row r="102" spans="1:9" x14ac:dyDescent="0.25">
      <c r="A102" s="370" t="s">
        <v>157</v>
      </c>
      <c r="B102" s="43" t="s">
        <v>158</v>
      </c>
      <c r="C102" s="44">
        <v>23.17</v>
      </c>
      <c r="D102" s="373">
        <f>SUM(C102:C103)</f>
        <v>53.17</v>
      </c>
      <c r="F102" s="206"/>
    </row>
    <row r="103" spans="1:9" x14ac:dyDescent="0.25">
      <c r="A103" s="370"/>
      <c r="B103" s="43" t="s">
        <v>159</v>
      </c>
      <c r="C103" s="44">
        <v>30</v>
      </c>
      <c r="D103" s="372"/>
      <c r="F103" s="207"/>
    </row>
    <row r="104" spans="1:9" x14ac:dyDescent="0.2">
      <c r="A104" s="370" t="s">
        <v>160</v>
      </c>
      <c r="B104" s="18" t="s">
        <v>103</v>
      </c>
      <c r="C104" s="150">
        <v>10</v>
      </c>
      <c r="D104" s="371">
        <f>SUM(C104:C105)</f>
        <v>14</v>
      </c>
      <c r="F104" s="206"/>
    </row>
    <row r="105" spans="1:9" x14ac:dyDescent="0.2">
      <c r="A105" s="370"/>
      <c r="B105" s="12" t="s">
        <v>104</v>
      </c>
      <c r="C105" s="152">
        <v>4</v>
      </c>
      <c r="D105" s="372"/>
      <c r="F105" s="206"/>
    </row>
    <row r="106" spans="1:9" x14ac:dyDescent="0.2">
      <c r="A106" s="370" t="s">
        <v>154</v>
      </c>
      <c r="B106" s="18" t="s">
        <v>147</v>
      </c>
      <c r="C106" s="150">
        <v>20.62</v>
      </c>
      <c r="D106" s="371">
        <f>SUM(C106:C107)</f>
        <v>70.62</v>
      </c>
      <c r="F106" s="207"/>
    </row>
    <row r="107" spans="1:9" s="19" customFormat="1" x14ac:dyDescent="0.2">
      <c r="A107" s="370"/>
      <c r="B107" s="18" t="s">
        <v>145</v>
      </c>
      <c r="C107" s="150">
        <v>50</v>
      </c>
      <c r="D107" s="372"/>
      <c r="F107" s="208"/>
      <c r="G107" s="209"/>
    </row>
    <row r="108" spans="1:9" ht="13.5" thickBot="1" x14ac:dyDescent="0.3">
      <c r="A108" s="231"/>
      <c r="B108" s="216" t="s">
        <v>113</v>
      </c>
      <c r="C108" s="232">
        <f>SUM(C100:C107)</f>
        <v>186.21</v>
      </c>
      <c r="D108" s="233">
        <f>SUM(D100:D107)</f>
        <v>186.21</v>
      </c>
      <c r="F108" s="206"/>
    </row>
    <row r="109" spans="1:9" x14ac:dyDescent="0.25">
      <c r="A109" s="355" t="s">
        <v>189</v>
      </c>
      <c r="B109" s="356"/>
      <c r="C109" s="356"/>
      <c r="D109" s="357"/>
      <c r="F109" s="206"/>
    </row>
    <row r="110" spans="1:9" x14ac:dyDescent="0.2">
      <c r="A110" s="374" t="s">
        <v>102</v>
      </c>
      <c r="B110" s="12" t="s">
        <v>193</v>
      </c>
      <c r="C110" s="150">
        <v>98.7</v>
      </c>
      <c r="D110" s="373">
        <f>SUM(C110:C113)</f>
        <v>175.29</v>
      </c>
      <c r="F110" s="206"/>
    </row>
    <row r="111" spans="1:9" x14ac:dyDescent="0.2">
      <c r="A111" s="374"/>
      <c r="B111" s="18" t="s">
        <v>190</v>
      </c>
      <c r="C111" s="150">
        <v>34.1</v>
      </c>
      <c r="D111" s="373"/>
      <c r="F111" s="206"/>
    </row>
    <row r="112" spans="1:9" x14ac:dyDescent="0.2">
      <c r="A112" s="374"/>
      <c r="B112" s="18" t="s">
        <v>191</v>
      </c>
      <c r="C112" s="150">
        <v>20.29</v>
      </c>
      <c r="D112" s="373"/>
      <c r="F112" s="206"/>
    </row>
    <row r="113" spans="1:6" x14ac:dyDescent="0.2">
      <c r="A113" s="375"/>
      <c r="B113" s="18" t="s">
        <v>192</v>
      </c>
      <c r="C113" s="150">
        <v>22.2</v>
      </c>
      <c r="D113" s="373"/>
      <c r="F113" s="206"/>
    </row>
    <row r="114" spans="1:6" ht="13.5" thickBot="1" x14ac:dyDescent="0.3">
      <c r="A114" s="234"/>
      <c r="B114" s="235" t="s">
        <v>114</v>
      </c>
      <c r="C114" s="236">
        <f>SUM(C110:C113)</f>
        <v>175.29</v>
      </c>
      <c r="D114" s="237">
        <f>+C114</f>
        <v>175.29</v>
      </c>
      <c r="F114" s="206"/>
    </row>
    <row r="115" spans="1:6" x14ac:dyDescent="0.25">
      <c r="A115" s="342" t="s">
        <v>194</v>
      </c>
      <c r="B115" s="343"/>
      <c r="C115" s="343"/>
      <c r="D115" s="344"/>
      <c r="F115" s="207"/>
    </row>
    <row r="116" spans="1:6" x14ac:dyDescent="0.25">
      <c r="A116" s="380" t="s">
        <v>167</v>
      </c>
      <c r="B116" s="43" t="s">
        <v>162</v>
      </c>
      <c r="C116" s="151">
        <v>267</v>
      </c>
      <c r="D116" s="238"/>
    </row>
    <row r="117" spans="1:6" x14ac:dyDescent="0.25">
      <c r="A117" s="380"/>
      <c r="B117" s="43" t="s">
        <v>90</v>
      </c>
      <c r="C117" s="151">
        <v>361</v>
      </c>
      <c r="D117" s="238"/>
    </row>
    <row r="118" spans="1:6" x14ac:dyDescent="0.25">
      <c r="A118" s="380"/>
      <c r="B118" s="43" t="s">
        <v>163</v>
      </c>
      <c r="C118" s="151">
        <v>167</v>
      </c>
      <c r="D118" s="238"/>
    </row>
    <row r="119" spans="1:6" x14ac:dyDescent="0.25">
      <c r="A119" s="380"/>
      <c r="B119" s="43" t="s">
        <v>57</v>
      </c>
      <c r="C119" s="151">
        <v>225</v>
      </c>
      <c r="D119" s="238"/>
    </row>
    <row r="120" spans="1:6" x14ac:dyDescent="0.25">
      <c r="A120" s="380"/>
      <c r="B120" s="43" t="s">
        <v>105</v>
      </c>
      <c r="C120" s="151">
        <v>104</v>
      </c>
      <c r="D120" s="238"/>
    </row>
    <row r="121" spans="1:6" x14ac:dyDescent="0.25">
      <c r="A121" s="380"/>
      <c r="B121" s="43" t="s">
        <v>89</v>
      </c>
      <c r="C121" s="151">
        <v>656</v>
      </c>
      <c r="D121" s="238"/>
    </row>
    <row r="122" spans="1:6" x14ac:dyDescent="0.25">
      <c r="A122" s="380"/>
      <c r="B122" s="43" t="s">
        <v>32</v>
      </c>
      <c r="C122" s="151">
        <v>129</v>
      </c>
      <c r="D122" s="238"/>
    </row>
    <row r="123" spans="1:6" x14ac:dyDescent="0.25">
      <c r="A123" s="380"/>
      <c r="B123" s="43" t="s">
        <v>164</v>
      </c>
      <c r="C123" s="151">
        <v>111</v>
      </c>
      <c r="D123" s="238"/>
    </row>
    <row r="124" spans="1:6" x14ac:dyDescent="0.25">
      <c r="A124" s="380"/>
      <c r="B124" s="43" t="s">
        <v>165</v>
      </c>
      <c r="C124" s="151">
        <v>322</v>
      </c>
      <c r="D124" s="238"/>
    </row>
    <row r="125" spans="1:6" x14ac:dyDescent="0.25">
      <c r="A125" s="380"/>
      <c r="B125" s="43" t="s">
        <v>102</v>
      </c>
      <c r="C125" s="151">
        <v>436</v>
      </c>
      <c r="D125" s="238"/>
    </row>
    <row r="126" spans="1:6" x14ac:dyDescent="0.25">
      <c r="A126" s="380"/>
      <c r="B126" s="43" t="s">
        <v>40</v>
      </c>
      <c r="C126" s="151">
        <v>236</v>
      </c>
      <c r="D126" s="238"/>
    </row>
    <row r="127" spans="1:6" x14ac:dyDescent="0.25">
      <c r="A127" s="380"/>
      <c r="B127" s="43" t="s">
        <v>39</v>
      </c>
      <c r="C127" s="151">
        <v>176</v>
      </c>
      <c r="D127" s="238"/>
    </row>
    <row r="128" spans="1:6" ht="13.5" thickBot="1" x14ac:dyDescent="0.3">
      <c r="A128" s="234"/>
      <c r="B128" s="225" t="s">
        <v>118</v>
      </c>
      <c r="C128" s="240">
        <f>SUM(C116:C127)</f>
        <v>3190</v>
      </c>
      <c r="D128" s="241">
        <v>3190</v>
      </c>
    </row>
    <row r="129" spans="1:4" x14ac:dyDescent="0.25">
      <c r="A129" s="342" t="s">
        <v>195</v>
      </c>
      <c r="B129" s="343"/>
      <c r="C129" s="343"/>
      <c r="D129" s="344"/>
    </row>
    <row r="130" spans="1:4" x14ac:dyDescent="0.2">
      <c r="A130" s="349" t="s">
        <v>115</v>
      </c>
      <c r="B130" s="14" t="s">
        <v>168</v>
      </c>
      <c r="C130" s="48">
        <v>60</v>
      </c>
      <c r="D130" s="376">
        <f>+SUM(C130:C133)</f>
        <v>401</v>
      </c>
    </row>
    <row r="131" spans="1:4" x14ac:dyDescent="0.2">
      <c r="A131" s="349"/>
      <c r="B131" s="14" t="s">
        <v>171</v>
      </c>
      <c r="C131" s="48">
        <v>139.5</v>
      </c>
      <c r="D131" s="376"/>
    </row>
    <row r="132" spans="1:4" x14ac:dyDescent="0.2">
      <c r="A132" s="349"/>
      <c r="B132" s="14" t="s">
        <v>169</v>
      </c>
      <c r="C132" s="48">
        <v>110</v>
      </c>
      <c r="D132" s="376"/>
    </row>
    <row r="133" spans="1:4" x14ac:dyDescent="0.2">
      <c r="A133" s="349"/>
      <c r="B133" s="14" t="s">
        <v>170</v>
      </c>
      <c r="C133" s="48">
        <v>91.5</v>
      </c>
      <c r="D133" s="376"/>
    </row>
    <row r="134" spans="1:4" x14ac:dyDescent="0.2">
      <c r="A134" s="349" t="s">
        <v>116</v>
      </c>
      <c r="B134" s="14" t="s">
        <v>172</v>
      </c>
      <c r="C134" s="48">
        <v>65</v>
      </c>
      <c r="D134" s="376">
        <f>+SUM(C134:C141)</f>
        <v>618</v>
      </c>
    </row>
    <row r="135" spans="1:4" x14ac:dyDescent="0.2">
      <c r="A135" s="349"/>
      <c r="B135" s="14" t="s">
        <v>173</v>
      </c>
      <c r="C135" s="48">
        <v>78</v>
      </c>
      <c r="D135" s="376"/>
    </row>
    <row r="136" spans="1:4" x14ac:dyDescent="0.2">
      <c r="A136" s="349"/>
      <c r="B136" s="14" t="s">
        <v>174</v>
      </c>
      <c r="C136" s="48">
        <v>50</v>
      </c>
      <c r="D136" s="376"/>
    </row>
    <row r="137" spans="1:4" x14ac:dyDescent="0.2">
      <c r="A137" s="349"/>
      <c r="B137" s="14" t="s">
        <v>175</v>
      </c>
      <c r="C137" s="48">
        <v>75</v>
      </c>
      <c r="D137" s="376"/>
    </row>
    <row r="138" spans="1:4" x14ac:dyDescent="0.2">
      <c r="A138" s="349"/>
      <c r="B138" s="14" t="s">
        <v>176</v>
      </c>
      <c r="C138" s="48">
        <v>93</v>
      </c>
      <c r="D138" s="376"/>
    </row>
    <row r="139" spans="1:4" x14ac:dyDescent="0.2">
      <c r="A139" s="349"/>
      <c r="B139" s="14" t="s">
        <v>177</v>
      </c>
      <c r="C139" s="48">
        <v>75</v>
      </c>
      <c r="D139" s="376"/>
    </row>
    <row r="140" spans="1:4" x14ac:dyDescent="0.2">
      <c r="A140" s="349"/>
      <c r="B140" s="14" t="s">
        <v>178</v>
      </c>
      <c r="C140" s="48">
        <v>117</v>
      </c>
      <c r="D140" s="376"/>
    </row>
    <row r="141" spans="1:4" x14ac:dyDescent="0.2">
      <c r="A141" s="349"/>
      <c r="B141" s="14" t="s">
        <v>179</v>
      </c>
      <c r="C141" s="48">
        <v>65</v>
      </c>
      <c r="D141" s="376"/>
    </row>
    <row r="142" spans="1:4" ht="15" customHeight="1" x14ac:dyDescent="0.2">
      <c r="A142" s="349" t="s">
        <v>117</v>
      </c>
      <c r="B142" s="14" t="s">
        <v>180</v>
      </c>
      <c r="C142" s="48">
        <v>190</v>
      </c>
      <c r="D142" s="348">
        <f>SUM(C142:C145)</f>
        <v>601</v>
      </c>
    </row>
    <row r="143" spans="1:4" ht="15" customHeight="1" x14ac:dyDescent="0.2">
      <c r="A143" s="349"/>
      <c r="B143" s="14" t="s">
        <v>181</v>
      </c>
      <c r="C143" s="48">
        <v>220</v>
      </c>
      <c r="D143" s="376"/>
    </row>
    <row r="144" spans="1:4" ht="15" customHeight="1" x14ac:dyDescent="0.2">
      <c r="A144" s="349"/>
      <c r="B144" s="14" t="s">
        <v>182</v>
      </c>
      <c r="C144" s="48">
        <v>126</v>
      </c>
      <c r="D144" s="376"/>
    </row>
    <row r="145" spans="1:4" ht="15.75" customHeight="1" x14ac:dyDescent="0.2">
      <c r="A145" s="349"/>
      <c r="B145" s="14" t="s">
        <v>183</v>
      </c>
      <c r="C145" s="48">
        <v>65</v>
      </c>
      <c r="D145" s="376"/>
    </row>
    <row r="146" spans="1:4" ht="18.75" customHeight="1" thickBot="1" x14ac:dyDescent="0.3">
      <c r="A146" s="231"/>
      <c r="B146" s="216" t="s">
        <v>196</v>
      </c>
      <c r="C146" s="242">
        <f>SUM(C130:C145)</f>
        <v>1620</v>
      </c>
      <c r="D146" s="239">
        <f>SUM(D130:D145)</f>
        <v>1620</v>
      </c>
    </row>
  </sheetData>
  <mergeCells count="85">
    <mergeCell ref="A116:A127"/>
    <mergeCell ref="A129:D129"/>
    <mergeCell ref="A130:A133"/>
    <mergeCell ref="D130:D133"/>
    <mergeCell ref="A134:A141"/>
    <mergeCell ref="D134:D141"/>
    <mergeCell ref="A142:A145"/>
    <mergeCell ref="D142:D145"/>
    <mergeCell ref="D14:D15"/>
    <mergeCell ref="D16:D17"/>
    <mergeCell ref="D18:D19"/>
    <mergeCell ref="A23:A26"/>
    <mergeCell ref="D62:D65"/>
    <mergeCell ref="A29:A36"/>
    <mergeCell ref="A14:A15"/>
    <mergeCell ref="A16:A17"/>
    <mergeCell ref="A18:A19"/>
    <mergeCell ref="D29:D36"/>
    <mergeCell ref="D37:D46"/>
    <mergeCell ref="A37:A46"/>
    <mergeCell ref="A47:A53"/>
    <mergeCell ref="A27:B27"/>
    <mergeCell ref="A106:A107"/>
    <mergeCell ref="D106:D107"/>
    <mergeCell ref="A115:D115"/>
    <mergeCell ref="A95:A97"/>
    <mergeCell ref="A100:A101"/>
    <mergeCell ref="A104:A105"/>
    <mergeCell ref="D104:D105"/>
    <mergeCell ref="A109:D109"/>
    <mergeCell ref="D110:D113"/>
    <mergeCell ref="A110:A113"/>
    <mergeCell ref="D100:D101"/>
    <mergeCell ref="A102:A103"/>
    <mergeCell ref="D102:D103"/>
    <mergeCell ref="A99:D99"/>
    <mergeCell ref="D95:D97"/>
    <mergeCell ref="F88:G88"/>
    <mergeCell ref="A91:A92"/>
    <mergeCell ref="A66:A69"/>
    <mergeCell ref="A76:A81"/>
    <mergeCell ref="F82:G82"/>
    <mergeCell ref="F83:G83"/>
    <mergeCell ref="F84:G85"/>
    <mergeCell ref="E56:E69"/>
    <mergeCell ref="A72:A75"/>
    <mergeCell ref="D72:D75"/>
    <mergeCell ref="A62:A65"/>
    <mergeCell ref="D56:D58"/>
    <mergeCell ref="D59:D61"/>
    <mergeCell ref="A56:A58"/>
    <mergeCell ref="A59:A61"/>
    <mergeCell ref="A71:D71"/>
    <mergeCell ref="F29:G29"/>
    <mergeCell ref="D66:D69"/>
    <mergeCell ref="A4:D4"/>
    <mergeCell ref="A6:D6"/>
    <mergeCell ref="D47:D53"/>
    <mergeCell ref="A9:D9"/>
    <mergeCell ref="A13:D13"/>
    <mergeCell ref="A22:D22"/>
    <mergeCell ref="A28:D28"/>
    <mergeCell ref="D10:D11"/>
    <mergeCell ref="A10:A11"/>
    <mergeCell ref="A55:D55"/>
    <mergeCell ref="D23:D26"/>
    <mergeCell ref="C30:C31"/>
    <mergeCell ref="C37:C38"/>
    <mergeCell ref="F59:G59"/>
    <mergeCell ref="A94:D94"/>
    <mergeCell ref="F60:G60"/>
    <mergeCell ref="F61:G61"/>
    <mergeCell ref="F80:G80"/>
    <mergeCell ref="E72:E92"/>
    <mergeCell ref="F89:G89"/>
    <mergeCell ref="F86:G86"/>
    <mergeCell ref="F87:G87"/>
    <mergeCell ref="F81:G81"/>
    <mergeCell ref="D91:D92"/>
    <mergeCell ref="D76:D81"/>
    <mergeCell ref="A82:A89"/>
    <mergeCell ref="D82:D89"/>
    <mergeCell ref="F90:G92"/>
    <mergeCell ref="F72:G77"/>
    <mergeCell ref="F78:G79"/>
  </mergeCells>
  <pageMargins left="0.7" right="0.7" top="0.75" bottom="0.75" header="0.3" footer="0.3"/>
  <pageSetup orientation="portrait" r:id="rId1"/>
  <ignoredErrors>
    <ignoredError sqref="D14:D20 D23:D26 D130:D145 D100:D104 D91 D79 D77 D81 D72:D76 D78 D80 D57:D61 D56 D62:D69 D47 D105:D10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" sqref="A2"/>
    </sheetView>
  </sheetViews>
  <sheetFormatPr defaultColWidth="11.42578125" defaultRowHeight="15" x14ac:dyDescent="0.25"/>
  <cols>
    <col min="1" max="1" width="6.5703125" customWidth="1"/>
    <col min="2" max="2" width="15.42578125" customWidth="1"/>
    <col min="3" max="3" width="15.42578125" hidden="1" customWidth="1"/>
    <col min="4" max="4" width="7.28515625" customWidth="1"/>
    <col min="5" max="5" width="29.85546875" hidden="1" customWidth="1"/>
    <col min="6" max="6" width="39.140625" customWidth="1"/>
    <col min="7" max="7" width="12.85546875" customWidth="1"/>
    <col min="8" max="8" width="15.140625" customWidth="1"/>
    <col min="9" max="9" width="37" style="54" customWidth="1"/>
    <col min="10" max="10" width="9.7109375" style="54" customWidth="1"/>
    <col min="11" max="11" width="10.42578125" style="55" customWidth="1"/>
    <col min="12" max="12" width="9.5703125" style="55" customWidth="1"/>
    <col min="13" max="13" width="10.7109375" customWidth="1"/>
    <col min="14" max="14" width="9.5703125" customWidth="1"/>
    <col min="15" max="15" width="10.28515625" customWidth="1"/>
    <col min="16" max="16" width="9.28515625" customWidth="1"/>
    <col min="17" max="17" width="10.85546875" customWidth="1"/>
    <col min="18" max="18" width="10" customWidth="1"/>
    <col min="19" max="19" width="10.85546875" customWidth="1"/>
  </cols>
  <sheetData>
    <row r="1" spans="1:21" x14ac:dyDescent="0.25">
      <c r="A1" s="5" t="s">
        <v>21</v>
      </c>
      <c r="B1" s="5"/>
      <c r="I1" s="174" t="s">
        <v>553</v>
      </c>
    </row>
    <row r="2" spans="1:21" x14ac:dyDescent="0.25">
      <c r="A2" s="5" t="s">
        <v>552</v>
      </c>
      <c r="B2" s="5"/>
      <c r="I2" s="174" t="s">
        <v>570</v>
      </c>
    </row>
    <row r="3" spans="1:21" ht="15.75" thickBot="1" x14ac:dyDescent="0.3"/>
    <row r="4" spans="1:21" ht="26.25" customHeight="1" thickBot="1" x14ac:dyDescent="0.3">
      <c r="A4" s="318" t="s">
        <v>226</v>
      </c>
      <c r="B4" s="319"/>
      <c r="C4" s="319"/>
      <c r="D4" s="319"/>
      <c r="E4" s="319"/>
      <c r="F4" s="319"/>
      <c r="G4" s="319"/>
      <c r="H4" s="319"/>
      <c r="I4" s="320"/>
      <c r="J4" s="123"/>
    </row>
    <row r="6" spans="1:21" x14ac:dyDescent="0.25">
      <c r="A6" s="386" t="s">
        <v>41</v>
      </c>
      <c r="B6" s="386" t="s">
        <v>0</v>
      </c>
      <c r="C6" s="386" t="s">
        <v>14</v>
      </c>
      <c r="D6" s="386" t="s">
        <v>12</v>
      </c>
      <c r="E6" s="386" t="s">
        <v>23</v>
      </c>
      <c r="F6" s="386" t="s">
        <v>24</v>
      </c>
      <c r="G6" s="386" t="s">
        <v>227</v>
      </c>
      <c r="H6" s="389" t="s">
        <v>228</v>
      </c>
      <c r="I6" s="381" t="s">
        <v>229</v>
      </c>
      <c r="J6" s="381" t="s">
        <v>230</v>
      </c>
      <c r="K6" s="381"/>
      <c r="L6" s="381" t="s">
        <v>231</v>
      </c>
      <c r="M6" s="381"/>
      <c r="N6" s="381" t="s">
        <v>232</v>
      </c>
      <c r="O6" s="381"/>
      <c r="P6" s="381" t="s">
        <v>233</v>
      </c>
      <c r="Q6" s="381"/>
      <c r="R6" s="381" t="s">
        <v>234</v>
      </c>
      <c r="S6" s="381"/>
      <c r="T6" s="382" t="s">
        <v>530</v>
      </c>
      <c r="U6" s="382"/>
    </row>
    <row r="7" spans="1:21" x14ac:dyDescent="0.25">
      <c r="A7" s="387"/>
      <c r="B7" s="388"/>
      <c r="C7" s="388"/>
      <c r="D7" s="388"/>
      <c r="E7" s="388"/>
      <c r="F7" s="388"/>
      <c r="G7" s="388"/>
      <c r="H7" s="390" t="s">
        <v>2</v>
      </c>
      <c r="I7" s="381" t="s">
        <v>2</v>
      </c>
      <c r="J7" s="124" t="s">
        <v>533</v>
      </c>
      <c r="K7" s="124" t="s">
        <v>2</v>
      </c>
      <c r="L7" s="124" t="s">
        <v>533</v>
      </c>
      <c r="M7" s="124" t="s">
        <v>2</v>
      </c>
      <c r="N7" s="124" t="s">
        <v>533</v>
      </c>
      <c r="O7" s="124" t="s">
        <v>2</v>
      </c>
      <c r="P7" s="124" t="s">
        <v>533</v>
      </c>
      <c r="Q7" s="124" t="s">
        <v>2</v>
      </c>
      <c r="R7" s="124" t="s">
        <v>533</v>
      </c>
      <c r="S7" s="124" t="s">
        <v>2</v>
      </c>
      <c r="T7" s="124" t="s">
        <v>533</v>
      </c>
      <c r="U7" s="124" t="s">
        <v>2</v>
      </c>
    </row>
    <row r="8" spans="1:21" ht="30" x14ac:dyDescent="0.25">
      <c r="A8" s="6">
        <v>1</v>
      </c>
      <c r="B8" s="212" t="s">
        <v>235</v>
      </c>
      <c r="C8" s="1"/>
      <c r="D8" s="1" t="s">
        <v>13</v>
      </c>
      <c r="E8" s="2"/>
      <c r="F8" s="1" t="s">
        <v>236</v>
      </c>
      <c r="G8" s="253">
        <v>500</v>
      </c>
      <c r="H8" s="56">
        <f>+'[2]Lic 126-11'!$P$20</f>
        <v>9672146.598888889</v>
      </c>
      <c r="I8" s="109" t="s">
        <v>237</v>
      </c>
      <c r="J8" s="109">
        <f>+G8*0.75</f>
        <v>375</v>
      </c>
      <c r="K8" s="57">
        <f>+H8*0.75</f>
        <v>7254109.9491666667</v>
      </c>
      <c r="L8" s="122">
        <f>+G8*0.25</f>
        <v>125</v>
      </c>
      <c r="M8" s="121">
        <f>+H8*0.25</f>
        <v>2418036.6497222222</v>
      </c>
      <c r="N8" s="58"/>
      <c r="O8" s="59"/>
      <c r="P8" s="135"/>
      <c r="Q8" s="135"/>
      <c r="R8" s="135"/>
      <c r="S8" s="61"/>
      <c r="T8" s="116">
        <f>+J8+L8+N8+P8+R8</f>
        <v>500</v>
      </c>
      <c r="U8" s="116">
        <f>+K8+M8+O8+Q8+S8</f>
        <v>9672146.598888889</v>
      </c>
    </row>
    <row r="9" spans="1:21" ht="30" x14ac:dyDescent="0.25">
      <c r="A9" s="6">
        <v>2</v>
      </c>
      <c r="B9" s="212" t="s">
        <v>3</v>
      </c>
      <c r="C9" s="1"/>
      <c r="D9" s="1" t="s">
        <v>13</v>
      </c>
      <c r="E9" s="2"/>
      <c r="F9" s="1" t="s">
        <v>238</v>
      </c>
      <c r="G9" s="253">
        <v>563</v>
      </c>
      <c r="H9" s="56">
        <f>+'[2]LIC -69-11'!$N$30</f>
        <v>6191419.3191111116</v>
      </c>
      <c r="I9" s="109" t="s">
        <v>239</v>
      </c>
      <c r="J9" s="109">
        <f>+G9*0.92</f>
        <v>517.96</v>
      </c>
      <c r="K9" s="60">
        <f>+H9*0.92</f>
        <v>5696105.7735822229</v>
      </c>
      <c r="L9" s="60">
        <f>+G9*0.08</f>
        <v>45.04</v>
      </c>
      <c r="M9" s="61">
        <f>+H9*0.08</f>
        <v>495313.54552888894</v>
      </c>
      <c r="N9" s="61"/>
      <c r="O9" s="61"/>
      <c r="P9" s="136"/>
      <c r="Q9" s="136"/>
      <c r="R9" s="136"/>
      <c r="S9" s="61"/>
      <c r="T9" s="116">
        <f t="shared" ref="T9:T16" si="0">+J9+L9+N9+P9+R9</f>
        <v>563</v>
      </c>
      <c r="U9" s="116">
        <f t="shared" ref="U9:U16" si="1">+K9+M9+O9+Q9+S9</f>
        <v>6191419.3191111116</v>
      </c>
    </row>
    <row r="10" spans="1:21" ht="30" x14ac:dyDescent="0.25">
      <c r="A10" s="6">
        <v>3</v>
      </c>
      <c r="B10" s="212" t="s">
        <v>3</v>
      </c>
      <c r="C10" s="1"/>
      <c r="D10" s="1" t="s">
        <v>13</v>
      </c>
      <c r="E10" s="2"/>
      <c r="F10" s="1" t="s">
        <v>240</v>
      </c>
      <c r="G10" s="253">
        <v>397</v>
      </c>
      <c r="H10" s="56">
        <f>+'[2]LIC-37-12'!$O$23</f>
        <v>4608597.4424444446</v>
      </c>
      <c r="I10" s="109" t="s">
        <v>241</v>
      </c>
      <c r="J10" s="109">
        <f>+G10*0.67</f>
        <v>265.99</v>
      </c>
      <c r="K10" s="60">
        <f>+H10*0.67</f>
        <v>3087760.2864377783</v>
      </c>
      <c r="L10" s="60">
        <f>+G10*0.33</f>
        <v>131.01000000000002</v>
      </c>
      <c r="M10" s="61">
        <f>+H10*0.33</f>
        <v>1520837.1560066668</v>
      </c>
      <c r="N10" s="61"/>
      <c r="O10" s="61"/>
      <c r="P10" s="136"/>
      <c r="Q10" s="136"/>
      <c r="R10" s="136"/>
      <c r="S10" s="61"/>
      <c r="T10" s="116">
        <f t="shared" si="0"/>
        <v>397</v>
      </c>
      <c r="U10" s="116">
        <f t="shared" si="1"/>
        <v>4608597.4424444456</v>
      </c>
    </row>
    <row r="11" spans="1:21" ht="30" x14ac:dyDescent="0.25">
      <c r="A11" s="6">
        <v>4</v>
      </c>
      <c r="B11" s="212" t="s">
        <v>7</v>
      </c>
      <c r="C11" s="29"/>
      <c r="D11" s="1" t="s">
        <v>13</v>
      </c>
      <c r="E11" s="2"/>
      <c r="F11" s="1" t="s">
        <v>242</v>
      </c>
      <c r="G11" s="253">
        <v>898</v>
      </c>
      <c r="H11" s="56">
        <f>+'[2]LIC 81 - 12 JICA'!$M$35</f>
        <v>14710803.125111111</v>
      </c>
      <c r="I11" s="109" t="s">
        <v>243</v>
      </c>
      <c r="J11" s="109">
        <f>+G11*0.04</f>
        <v>35.92</v>
      </c>
      <c r="K11" s="60">
        <f>+H11*0.04</f>
        <v>588432.12500444439</v>
      </c>
      <c r="L11" s="60">
        <f>+G11*0.5</f>
        <v>449</v>
      </c>
      <c r="M11" s="61">
        <f>+H11*0.5</f>
        <v>7355401.5625555553</v>
      </c>
      <c r="N11" s="61">
        <f>+G11*0.46</f>
        <v>413.08000000000004</v>
      </c>
      <c r="O11" s="61">
        <f>+H11*0.46</f>
        <v>6766969.437551111</v>
      </c>
      <c r="P11" s="136"/>
      <c r="Q11" s="136"/>
      <c r="R11" s="136"/>
      <c r="S11" s="61"/>
      <c r="T11" s="116">
        <f t="shared" si="0"/>
        <v>898</v>
      </c>
      <c r="U11" s="116">
        <f t="shared" si="1"/>
        <v>14710803.125111111</v>
      </c>
    </row>
    <row r="12" spans="1:21" ht="45" x14ac:dyDescent="0.25">
      <c r="A12" s="6">
        <v>5</v>
      </c>
      <c r="B12" s="248" t="s">
        <v>11</v>
      </c>
      <c r="C12" s="62"/>
      <c r="D12" s="63" t="s">
        <v>13</v>
      </c>
      <c r="E12" s="64"/>
      <c r="F12" s="63" t="s">
        <v>244</v>
      </c>
      <c r="G12" s="254">
        <f>+'[3]2. Detalle Puentes'!D212</f>
        <v>3190</v>
      </c>
      <c r="H12" s="144">
        <v>44413465.170434788</v>
      </c>
      <c r="I12" s="109" t="s">
        <v>513</v>
      </c>
      <c r="J12" s="109"/>
      <c r="K12" s="60"/>
      <c r="L12" s="60">
        <f>+G12*0.5</f>
        <v>1595</v>
      </c>
      <c r="M12" s="66">
        <f>+H12*0.5</f>
        <v>22206732.585217394</v>
      </c>
      <c r="N12" s="66">
        <f>+G12*0.3</f>
        <v>957</v>
      </c>
      <c r="O12" s="66">
        <f>+H12*0.3</f>
        <v>13324039.551130436</v>
      </c>
      <c r="P12" s="137">
        <f>+G12*0.2</f>
        <v>638</v>
      </c>
      <c r="Q12" s="137">
        <f>+H12*0.2</f>
        <v>8882693.0340869576</v>
      </c>
      <c r="R12" s="137"/>
      <c r="S12" s="66"/>
      <c r="T12" s="116">
        <f t="shared" si="0"/>
        <v>3190</v>
      </c>
      <c r="U12" s="116">
        <f t="shared" si="1"/>
        <v>44413465.170434788</v>
      </c>
    </row>
    <row r="13" spans="1:21" ht="55.5" customHeight="1" x14ac:dyDescent="0.25">
      <c r="A13" s="105">
        <v>6</v>
      </c>
      <c r="B13" s="249" t="s">
        <v>559</v>
      </c>
      <c r="C13" s="106"/>
      <c r="D13" s="106" t="s">
        <v>18</v>
      </c>
      <c r="E13" s="108"/>
      <c r="F13" s="106" t="s">
        <v>210</v>
      </c>
      <c r="G13" s="255">
        <v>1900</v>
      </c>
      <c r="H13" s="73">
        <f>28500000*1.12</f>
        <v>31920000.000000004</v>
      </c>
      <c r="I13" s="109" t="s">
        <v>510</v>
      </c>
      <c r="J13" s="109"/>
      <c r="K13" s="60"/>
      <c r="L13" s="60">
        <f>+G13*0.15</f>
        <v>285</v>
      </c>
      <c r="M13" s="66">
        <f>+H13*0.15</f>
        <v>4788000</v>
      </c>
      <c r="N13" s="66">
        <f>+G13*0.4</f>
        <v>760</v>
      </c>
      <c r="O13" s="66">
        <f>+H13*0.4</f>
        <v>12768000.000000002</v>
      </c>
      <c r="P13" s="137">
        <f>+G13*0.25</f>
        <v>475</v>
      </c>
      <c r="Q13" s="137">
        <f>+H13*0.25</f>
        <v>7980000.0000000009</v>
      </c>
      <c r="R13" s="137">
        <f>+G13*0.2</f>
        <v>380</v>
      </c>
      <c r="S13" s="66">
        <f>+H13*0.2</f>
        <v>6384000.0000000009</v>
      </c>
      <c r="T13" s="116">
        <f t="shared" si="0"/>
        <v>1900</v>
      </c>
      <c r="U13" s="116">
        <f t="shared" si="1"/>
        <v>31920000</v>
      </c>
    </row>
    <row r="14" spans="1:21" ht="19.5" customHeight="1" x14ac:dyDescent="0.25">
      <c r="A14" s="107">
        <v>7</v>
      </c>
      <c r="B14" s="250" t="s">
        <v>11</v>
      </c>
      <c r="C14" s="67"/>
      <c r="D14" s="67" t="s">
        <v>18</v>
      </c>
      <c r="E14" s="68"/>
      <c r="F14" s="69" t="s">
        <v>245</v>
      </c>
      <c r="G14" s="256">
        <v>2200</v>
      </c>
      <c r="H14" s="145">
        <f>33000000*1.12</f>
        <v>36960000</v>
      </c>
      <c r="I14" s="109" t="s">
        <v>246</v>
      </c>
      <c r="J14" s="109"/>
      <c r="K14" s="57"/>
      <c r="L14" s="122">
        <f>+G14*0.15</f>
        <v>330</v>
      </c>
      <c r="M14" s="70">
        <f>+H14*0.15</f>
        <v>5544000</v>
      </c>
      <c r="N14" s="70">
        <f>+G14*0.3</f>
        <v>660</v>
      </c>
      <c r="O14" s="70">
        <f>+H14*0.3</f>
        <v>11088000</v>
      </c>
      <c r="P14" s="138">
        <f>+G14*0.35</f>
        <v>770</v>
      </c>
      <c r="Q14" s="138">
        <f>+H14*0.35</f>
        <v>12936000</v>
      </c>
      <c r="R14" s="138">
        <f>+G14*0.2</f>
        <v>440</v>
      </c>
      <c r="S14" s="66">
        <f>+H14*0.2</f>
        <v>7392000</v>
      </c>
      <c r="T14" s="116">
        <f t="shared" si="0"/>
        <v>2200</v>
      </c>
      <c r="U14" s="116">
        <f t="shared" si="1"/>
        <v>36960000</v>
      </c>
    </row>
    <row r="15" spans="1:21" ht="45.75" customHeight="1" x14ac:dyDescent="0.25">
      <c r="A15" s="107">
        <v>8</v>
      </c>
      <c r="B15" s="251" t="s">
        <v>560</v>
      </c>
      <c r="C15" s="110"/>
      <c r="D15" s="110" t="s">
        <v>512</v>
      </c>
      <c r="E15" s="111"/>
      <c r="F15" s="106" t="s">
        <v>511</v>
      </c>
      <c r="G15" s="256">
        <v>600</v>
      </c>
      <c r="H15" s="145">
        <f>10200000*1.12</f>
        <v>11424000.000000002</v>
      </c>
      <c r="I15" s="109" t="s">
        <v>534</v>
      </c>
      <c r="J15" s="109"/>
      <c r="K15" s="57"/>
      <c r="L15" s="122"/>
      <c r="M15" s="70"/>
      <c r="N15" s="70">
        <f>+G15*0.2</f>
        <v>120</v>
      </c>
      <c r="O15" s="70">
        <f>+H15*0.2</f>
        <v>2284800.0000000005</v>
      </c>
      <c r="P15" s="138">
        <f>+G15*0.5</f>
        <v>300</v>
      </c>
      <c r="Q15" s="138">
        <f>+H15*0.5</f>
        <v>5712000.0000000009</v>
      </c>
      <c r="R15" s="138">
        <f>+G15*0.3</f>
        <v>180</v>
      </c>
      <c r="S15" s="66">
        <f>+H15*0.3</f>
        <v>3427200.0000000005</v>
      </c>
      <c r="T15" s="116">
        <f t="shared" si="0"/>
        <v>600</v>
      </c>
      <c r="U15" s="116">
        <f t="shared" si="1"/>
        <v>11424000.000000002</v>
      </c>
    </row>
    <row r="16" spans="1:21" ht="33.75" customHeight="1" thickBot="1" x14ac:dyDescent="0.3">
      <c r="A16" s="6">
        <v>9</v>
      </c>
      <c r="B16" s="252" t="s">
        <v>542</v>
      </c>
      <c r="C16" s="63"/>
      <c r="D16" s="63" t="s">
        <v>18</v>
      </c>
      <c r="E16" s="71"/>
      <c r="F16" s="72" t="s">
        <v>247</v>
      </c>
      <c r="G16" s="255">
        <v>1752</v>
      </c>
      <c r="H16" s="73">
        <f>+(18000+550)*G16</f>
        <v>32499600</v>
      </c>
      <c r="I16" s="109" t="s">
        <v>516</v>
      </c>
      <c r="J16" s="109"/>
      <c r="K16" s="60"/>
      <c r="L16" s="60">
        <f>+G16*0.1</f>
        <v>175.20000000000002</v>
      </c>
      <c r="M16" s="66">
        <f>+H16*0.1</f>
        <v>3249960</v>
      </c>
      <c r="N16" s="66">
        <f>+G16*0.25</f>
        <v>438</v>
      </c>
      <c r="O16" s="66">
        <f>+H16*0.25</f>
        <v>8124900</v>
      </c>
      <c r="P16" s="137">
        <f>+G16*0.25</f>
        <v>438</v>
      </c>
      <c r="Q16" s="137">
        <f>+H16*0.25</f>
        <v>8124900</v>
      </c>
      <c r="R16" s="137">
        <f>+G16*0.4</f>
        <v>700.80000000000007</v>
      </c>
      <c r="S16" s="66">
        <f>+H16*0.4</f>
        <v>12999840</v>
      </c>
      <c r="T16" s="116">
        <f t="shared" si="0"/>
        <v>1752</v>
      </c>
      <c r="U16" s="116">
        <f t="shared" si="1"/>
        <v>32499600</v>
      </c>
    </row>
    <row r="17" spans="1:21" ht="15.75" customHeight="1" thickBot="1" x14ac:dyDescent="0.3">
      <c r="A17" s="383" t="s">
        <v>558</v>
      </c>
      <c r="B17" s="384"/>
      <c r="C17" s="384"/>
      <c r="D17" s="384"/>
      <c r="E17" s="384"/>
      <c r="F17" s="385"/>
      <c r="G17" s="74">
        <f>+SUM(G8:G16)</f>
        <v>12000</v>
      </c>
      <c r="H17" s="146">
        <f>+SUM(H8:H16)</f>
        <v>192400031.65599036</v>
      </c>
      <c r="I17" s="140"/>
      <c r="J17" s="141">
        <f t="shared" ref="J17:U17" si="2">SUM(J8:J16)</f>
        <v>1194.8700000000001</v>
      </c>
      <c r="K17" s="139">
        <f t="shared" si="2"/>
        <v>16626408.134191113</v>
      </c>
      <c r="L17" s="143">
        <f t="shared" si="2"/>
        <v>3135.25</v>
      </c>
      <c r="M17" s="139">
        <f t="shared" si="2"/>
        <v>47578281.499030724</v>
      </c>
      <c r="N17" s="143">
        <f t="shared" si="2"/>
        <v>3348.08</v>
      </c>
      <c r="O17" s="139">
        <f t="shared" si="2"/>
        <v>54356708.988681547</v>
      </c>
      <c r="P17" s="143">
        <f t="shared" si="2"/>
        <v>2621</v>
      </c>
      <c r="Q17" s="139">
        <f t="shared" si="2"/>
        <v>43635593.034086958</v>
      </c>
      <c r="R17" s="143">
        <f t="shared" si="2"/>
        <v>1700.8000000000002</v>
      </c>
      <c r="S17" s="139">
        <f t="shared" si="2"/>
        <v>30203040</v>
      </c>
      <c r="T17" s="143">
        <f t="shared" si="2"/>
        <v>12000</v>
      </c>
      <c r="U17" s="143">
        <f t="shared" si="2"/>
        <v>192400031.65599036</v>
      </c>
    </row>
    <row r="18" spans="1:21" x14ac:dyDescent="0.25">
      <c r="A18" s="247"/>
      <c r="B18" s="75"/>
      <c r="D18" s="75"/>
      <c r="F18" s="75"/>
      <c r="H18" s="112"/>
    </row>
    <row r="19" spans="1:21" ht="15.75" thickBot="1" x14ac:dyDescent="0.3">
      <c r="A19" s="75"/>
      <c r="B19" s="75"/>
      <c r="C19" s="75"/>
      <c r="D19" s="75"/>
      <c r="F19" s="115"/>
      <c r="G19" s="114"/>
      <c r="L19" s="142"/>
    </row>
    <row r="20" spans="1:21" x14ac:dyDescent="0.25">
      <c r="F20" s="284" t="s">
        <v>567</v>
      </c>
      <c r="G20" s="285">
        <f>+G8+G9+G10+G11+G12+G13+G14</f>
        <v>9648</v>
      </c>
    </row>
    <row r="21" spans="1:21" x14ac:dyDescent="0.25">
      <c r="F21" s="286" t="s">
        <v>566</v>
      </c>
      <c r="G21" s="287">
        <f>+G15+G16</f>
        <v>2352</v>
      </c>
    </row>
    <row r="22" spans="1:21" ht="15.75" thickBot="1" x14ac:dyDescent="0.3">
      <c r="F22" s="288" t="s">
        <v>568</v>
      </c>
      <c r="G22" s="289">
        <f>+G21+G20</f>
        <v>12000</v>
      </c>
    </row>
  </sheetData>
  <mergeCells count="17">
    <mergeCell ref="A17:F17"/>
    <mergeCell ref="A4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T6:U6"/>
    <mergeCell ref="L6:M6"/>
    <mergeCell ref="N6:O6"/>
    <mergeCell ref="P6:Q6"/>
    <mergeCell ref="R6:S6"/>
  </mergeCells>
  <printOptions horizontalCentered="1"/>
  <pageMargins left="0.35433070866141736" right="0.1574803149606299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zoomScale="115" zoomScaleNormal="115" workbookViewId="0">
      <selection activeCell="A2" sqref="A2"/>
    </sheetView>
  </sheetViews>
  <sheetFormatPr defaultColWidth="11.42578125" defaultRowHeight="12.75" x14ac:dyDescent="0.2"/>
  <cols>
    <col min="1" max="1" width="14.28515625" style="103" customWidth="1"/>
    <col min="2" max="2" width="45.7109375" style="103" customWidth="1"/>
    <col min="3" max="3" width="10.85546875" style="103" customWidth="1"/>
    <col min="4" max="4" width="11.42578125" style="104" customWidth="1"/>
    <col min="5" max="16384" width="11.42578125" style="52"/>
  </cols>
  <sheetData>
    <row r="1" spans="1:7" customFormat="1" ht="15" x14ac:dyDescent="0.25">
      <c r="A1" s="5" t="s">
        <v>21</v>
      </c>
      <c r="B1" s="5"/>
      <c r="D1" s="174" t="s">
        <v>553</v>
      </c>
      <c r="E1" s="55"/>
      <c r="F1" s="55"/>
      <c r="G1" s="55"/>
    </row>
    <row r="2" spans="1:7" customFormat="1" ht="15" x14ac:dyDescent="0.25">
      <c r="A2" s="5" t="s">
        <v>552</v>
      </c>
      <c r="B2" s="5"/>
      <c r="D2" s="174" t="s">
        <v>570</v>
      </c>
      <c r="E2" s="55"/>
      <c r="F2" s="55"/>
      <c r="G2" s="55"/>
    </row>
    <row r="3" spans="1:7" customFormat="1" ht="15.75" thickBot="1" x14ac:dyDescent="0.3">
      <c r="E3" s="55"/>
      <c r="F3" s="55"/>
      <c r="G3" s="55"/>
    </row>
    <row r="4" spans="1:7" customFormat="1" ht="26.25" customHeight="1" thickBot="1" x14ac:dyDescent="0.3">
      <c r="A4" s="318" t="s">
        <v>248</v>
      </c>
      <c r="B4" s="319"/>
      <c r="C4" s="319"/>
      <c r="D4" s="320"/>
      <c r="E4" s="76"/>
      <c r="F4" s="76"/>
      <c r="G4" s="76"/>
    </row>
    <row r="5" spans="1:7" s="7" customFormat="1" x14ac:dyDescent="0.25">
      <c r="D5" s="50"/>
      <c r="E5" s="77"/>
      <c r="F5" s="77"/>
      <c r="G5" s="77"/>
    </row>
    <row r="6" spans="1:7" s="7" customFormat="1" ht="18.75" x14ac:dyDescent="0.25">
      <c r="A6" s="353" t="s">
        <v>119</v>
      </c>
      <c r="B6" s="353"/>
      <c r="C6" s="353"/>
      <c r="D6" s="353"/>
      <c r="E6" s="77"/>
      <c r="F6" s="77"/>
      <c r="G6" s="77"/>
    </row>
    <row r="7" spans="1:7" x14ac:dyDescent="0.2">
      <c r="A7" s="78"/>
      <c r="B7" s="78"/>
      <c r="C7" s="78"/>
      <c r="D7" s="79"/>
    </row>
    <row r="8" spans="1:7" ht="15.75" x14ac:dyDescent="0.2">
      <c r="A8" s="259" t="s">
        <v>25</v>
      </c>
      <c r="B8" s="259" t="s">
        <v>26</v>
      </c>
      <c r="C8" s="259" t="s">
        <v>249</v>
      </c>
      <c r="D8" s="259" t="s">
        <v>250</v>
      </c>
    </row>
    <row r="9" spans="1:7" x14ac:dyDescent="0.2">
      <c r="A9" s="394" t="s">
        <v>251</v>
      </c>
      <c r="B9" s="394"/>
      <c r="C9" s="394"/>
      <c r="D9" s="394"/>
    </row>
    <row r="10" spans="1:7" ht="25.5" x14ac:dyDescent="0.2">
      <c r="A10" s="393" t="s">
        <v>39</v>
      </c>
      <c r="B10" s="80" t="s">
        <v>252</v>
      </c>
      <c r="C10" s="81">
        <v>12</v>
      </c>
      <c r="D10" s="392">
        <f>+SUM(C10:C14)</f>
        <v>177</v>
      </c>
    </row>
    <row r="11" spans="1:7" ht="25.5" x14ac:dyDescent="0.2">
      <c r="A11" s="393"/>
      <c r="B11" s="80" t="s">
        <v>253</v>
      </c>
      <c r="C11" s="81">
        <v>30</v>
      </c>
      <c r="D11" s="392"/>
    </row>
    <row r="12" spans="1:7" ht="25.5" x14ac:dyDescent="0.2">
      <c r="A12" s="393"/>
      <c r="B12" s="80" t="s">
        <v>254</v>
      </c>
      <c r="C12" s="81">
        <v>45</v>
      </c>
      <c r="D12" s="392"/>
    </row>
    <row r="13" spans="1:7" ht="25.5" x14ac:dyDescent="0.2">
      <c r="A13" s="393"/>
      <c r="B13" s="80" t="s">
        <v>255</v>
      </c>
      <c r="C13" s="81">
        <v>60</v>
      </c>
      <c r="D13" s="392"/>
    </row>
    <row r="14" spans="1:7" ht="25.5" x14ac:dyDescent="0.2">
      <c r="A14" s="393"/>
      <c r="B14" s="80" t="s">
        <v>256</v>
      </c>
      <c r="C14" s="81">
        <v>30</v>
      </c>
      <c r="D14" s="392"/>
    </row>
    <row r="15" spans="1:7" ht="25.5" x14ac:dyDescent="0.2">
      <c r="A15" s="393" t="s">
        <v>90</v>
      </c>
      <c r="B15" s="80" t="s">
        <v>257</v>
      </c>
      <c r="C15" s="81">
        <v>20</v>
      </c>
      <c r="D15" s="392">
        <f>+SUM(C15:C17)</f>
        <v>50</v>
      </c>
    </row>
    <row r="16" spans="1:7" ht="25.5" x14ac:dyDescent="0.2">
      <c r="A16" s="393"/>
      <c r="B16" s="80" t="s">
        <v>258</v>
      </c>
      <c r="C16" s="81">
        <v>15</v>
      </c>
      <c r="D16" s="392"/>
    </row>
    <row r="17" spans="1:4" ht="25.5" x14ac:dyDescent="0.2">
      <c r="A17" s="393"/>
      <c r="B17" s="80" t="s">
        <v>259</v>
      </c>
      <c r="C17" s="81">
        <v>15</v>
      </c>
      <c r="D17" s="392"/>
    </row>
    <row r="18" spans="1:4" ht="25.5" x14ac:dyDescent="0.2">
      <c r="A18" s="80" t="s">
        <v>260</v>
      </c>
      <c r="B18" s="80" t="s">
        <v>261</v>
      </c>
      <c r="C18" s="81">
        <v>12</v>
      </c>
      <c r="D18" s="82">
        <f>+C18</f>
        <v>12</v>
      </c>
    </row>
    <row r="19" spans="1:4" ht="25.5" x14ac:dyDescent="0.2">
      <c r="A19" s="80" t="s">
        <v>32</v>
      </c>
      <c r="B19" s="80" t="s">
        <v>262</v>
      </c>
      <c r="C19" s="81">
        <v>30</v>
      </c>
      <c r="D19" s="82">
        <f>+C19</f>
        <v>30</v>
      </c>
    </row>
    <row r="20" spans="1:4" ht="25.5" x14ac:dyDescent="0.2">
      <c r="A20" s="391" t="s">
        <v>62</v>
      </c>
      <c r="B20" s="80" t="s">
        <v>263</v>
      </c>
      <c r="C20" s="81">
        <v>45</v>
      </c>
      <c r="D20" s="392">
        <f>+SUM(C20:C22)</f>
        <v>135</v>
      </c>
    </row>
    <row r="21" spans="1:4" ht="25.5" x14ac:dyDescent="0.2">
      <c r="A21" s="391"/>
      <c r="B21" s="80" t="s">
        <v>264</v>
      </c>
      <c r="C21" s="81">
        <v>45</v>
      </c>
      <c r="D21" s="392"/>
    </row>
    <row r="22" spans="1:4" ht="25.5" x14ac:dyDescent="0.2">
      <c r="A22" s="391"/>
      <c r="B22" s="80" t="s">
        <v>265</v>
      </c>
      <c r="C22" s="81">
        <v>45</v>
      </c>
      <c r="D22" s="392"/>
    </row>
    <row r="23" spans="1:4" ht="25.5" x14ac:dyDescent="0.2">
      <c r="A23" s="80" t="s">
        <v>102</v>
      </c>
      <c r="B23" s="80" t="s">
        <v>266</v>
      </c>
      <c r="C23" s="81">
        <v>45</v>
      </c>
      <c r="D23" s="82">
        <f>+C23</f>
        <v>45</v>
      </c>
    </row>
    <row r="24" spans="1:4" ht="25.5" x14ac:dyDescent="0.2">
      <c r="A24" s="391" t="s">
        <v>57</v>
      </c>
      <c r="B24" s="80" t="s">
        <v>267</v>
      </c>
      <c r="C24" s="81">
        <v>15</v>
      </c>
      <c r="D24" s="392">
        <f>+SUM(C24:C26)</f>
        <v>60</v>
      </c>
    </row>
    <row r="25" spans="1:4" ht="25.5" x14ac:dyDescent="0.2">
      <c r="A25" s="391"/>
      <c r="B25" s="80" t="s">
        <v>268</v>
      </c>
      <c r="C25" s="81">
        <v>15</v>
      </c>
      <c r="D25" s="392"/>
    </row>
    <row r="26" spans="1:4" ht="25.5" x14ac:dyDescent="0.2">
      <c r="A26" s="391"/>
      <c r="B26" s="80" t="s">
        <v>269</v>
      </c>
      <c r="C26" s="81">
        <v>30</v>
      </c>
      <c r="D26" s="392"/>
    </row>
    <row r="27" spans="1:4" ht="25.5" x14ac:dyDescent="0.2">
      <c r="A27" s="393" t="s">
        <v>164</v>
      </c>
      <c r="B27" s="83" t="s">
        <v>270</v>
      </c>
      <c r="C27" s="81">
        <v>20</v>
      </c>
      <c r="D27" s="392">
        <f>+SUM(C27:C29)</f>
        <v>80</v>
      </c>
    </row>
    <row r="28" spans="1:4" ht="25.5" x14ac:dyDescent="0.2">
      <c r="A28" s="393"/>
      <c r="B28" s="83" t="s">
        <v>271</v>
      </c>
      <c r="C28" s="81">
        <v>45</v>
      </c>
      <c r="D28" s="392"/>
    </row>
    <row r="29" spans="1:4" ht="25.5" x14ac:dyDescent="0.2">
      <c r="A29" s="393"/>
      <c r="B29" s="83" t="s">
        <v>272</v>
      </c>
      <c r="C29" s="81">
        <v>15</v>
      </c>
      <c r="D29" s="392"/>
    </row>
    <row r="30" spans="1:4" x14ac:dyDescent="0.2">
      <c r="A30" s="84"/>
      <c r="B30" s="84" t="s">
        <v>273</v>
      </c>
      <c r="C30" s="84"/>
      <c r="D30" s="85">
        <f>+SUM(D10:D29)</f>
        <v>589</v>
      </c>
    </row>
    <row r="31" spans="1:4" x14ac:dyDescent="0.2">
      <c r="A31" s="394" t="s">
        <v>274</v>
      </c>
      <c r="B31" s="394"/>
      <c r="C31" s="394"/>
      <c r="D31" s="394"/>
    </row>
    <row r="32" spans="1:4" x14ac:dyDescent="0.2">
      <c r="A32" s="86" t="s">
        <v>90</v>
      </c>
      <c r="B32" s="86" t="s">
        <v>275</v>
      </c>
      <c r="C32" s="80">
        <v>500</v>
      </c>
      <c r="D32" s="87">
        <f>+C32</f>
        <v>500</v>
      </c>
    </row>
    <row r="33" spans="1:4" x14ac:dyDescent="0.2">
      <c r="A33" s="84"/>
      <c r="B33" s="84" t="s">
        <v>276</v>
      </c>
      <c r="C33" s="84"/>
      <c r="D33" s="85">
        <f>+D32</f>
        <v>500</v>
      </c>
    </row>
    <row r="34" spans="1:4" x14ac:dyDescent="0.2">
      <c r="A34" s="394" t="s">
        <v>277</v>
      </c>
      <c r="B34" s="394"/>
      <c r="C34" s="394"/>
      <c r="D34" s="394"/>
    </row>
    <row r="35" spans="1:4" x14ac:dyDescent="0.2">
      <c r="A35" s="395" t="s">
        <v>38</v>
      </c>
      <c r="B35" s="88" t="s">
        <v>278</v>
      </c>
      <c r="C35" s="88">
        <v>24</v>
      </c>
      <c r="D35" s="396">
        <f>+SUM(C35:C38)</f>
        <v>114</v>
      </c>
    </row>
    <row r="36" spans="1:4" x14ac:dyDescent="0.2">
      <c r="A36" s="395"/>
      <c r="B36" s="86" t="s">
        <v>279</v>
      </c>
      <c r="C36" s="88">
        <v>24</v>
      </c>
      <c r="D36" s="396"/>
    </row>
    <row r="37" spans="1:4" x14ac:dyDescent="0.2">
      <c r="A37" s="395"/>
      <c r="B37" s="80" t="s">
        <v>280</v>
      </c>
      <c r="C37" s="80">
        <v>36</v>
      </c>
      <c r="D37" s="396"/>
    </row>
    <row r="38" spans="1:4" x14ac:dyDescent="0.2">
      <c r="A38" s="395"/>
      <c r="B38" s="80" t="s">
        <v>281</v>
      </c>
      <c r="C38" s="80">
        <v>30</v>
      </c>
      <c r="D38" s="396"/>
    </row>
    <row r="39" spans="1:4" x14ac:dyDescent="0.2">
      <c r="A39" s="391" t="s">
        <v>88</v>
      </c>
      <c r="B39" s="80" t="s">
        <v>282</v>
      </c>
      <c r="C39" s="80">
        <v>20</v>
      </c>
      <c r="D39" s="391">
        <f>+SUM(C39:C41)</f>
        <v>71</v>
      </c>
    </row>
    <row r="40" spans="1:4" x14ac:dyDescent="0.2">
      <c r="A40" s="391"/>
      <c r="B40" s="80" t="s">
        <v>283</v>
      </c>
      <c r="C40" s="80">
        <v>15</v>
      </c>
      <c r="D40" s="391"/>
    </row>
    <row r="41" spans="1:4" x14ac:dyDescent="0.2">
      <c r="A41" s="391"/>
      <c r="B41" s="80" t="s">
        <v>284</v>
      </c>
      <c r="C41" s="80">
        <v>36</v>
      </c>
      <c r="D41" s="391"/>
    </row>
    <row r="42" spans="1:4" x14ac:dyDescent="0.2">
      <c r="A42" s="391" t="s">
        <v>88</v>
      </c>
      <c r="B42" s="80" t="s">
        <v>285</v>
      </c>
      <c r="C42" s="80">
        <v>15</v>
      </c>
      <c r="D42" s="391">
        <f>+SUM(C42:C44)</f>
        <v>96</v>
      </c>
    </row>
    <row r="43" spans="1:4" x14ac:dyDescent="0.2">
      <c r="A43" s="391"/>
      <c r="B43" s="80" t="s">
        <v>286</v>
      </c>
      <c r="C43" s="80">
        <v>45</v>
      </c>
      <c r="D43" s="391"/>
    </row>
    <row r="44" spans="1:4" x14ac:dyDescent="0.2">
      <c r="A44" s="391"/>
      <c r="B44" s="80" t="s">
        <v>287</v>
      </c>
      <c r="C44" s="80">
        <v>36</v>
      </c>
      <c r="D44" s="391"/>
    </row>
    <row r="45" spans="1:4" x14ac:dyDescent="0.2">
      <c r="A45" s="395" t="s">
        <v>88</v>
      </c>
      <c r="B45" s="88" t="s">
        <v>288</v>
      </c>
      <c r="C45" s="88">
        <v>20</v>
      </c>
      <c r="D45" s="396">
        <f>+SUM(C45:C49)</f>
        <v>124</v>
      </c>
    </row>
    <row r="46" spans="1:4" x14ac:dyDescent="0.2">
      <c r="A46" s="395"/>
      <c r="B46" s="86" t="s">
        <v>288</v>
      </c>
      <c r="C46" s="88">
        <v>20</v>
      </c>
      <c r="D46" s="396"/>
    </row>
    <row r="47" spans="1:4" x14ac:dyDescent="0.2">
      <c r="A47" s="395"/>
      <c r="B47" s="86" t="s">
        <v>289</v>
      </c>
      <c r="C47" s="88">
        <v>24</v>
      </c>
      <c r="D47" s="396"/>
    </row>
    <row r="48" spans="1:4" x14ac:dyDescent="0.2">
      <c r="A48" s="395"/>
      <c r="B48" s="80" t="s">
        <v>290</v>
      </c>
      <c r="C48" s="80">
        <v>30</v>
      </c>
      <c r="D48" s="396"/>
    </row>
    <row r="49" spans="1:4" x14ac:dyDescent="0.2">
      <c r="A49" s="395"/>
      <c r="B49" s="80" t="s">
        <v>291</v>
      </c>
      <c r="C49" s="80">
        <v>30</v>
      </c>
      <c r="D49" s="396"/>
    </row>
    <row r="50" spans="1:4" x14ac:dyDescent="0.2">
      <c r="A50" s="395" t="s">
        <v>102</v>
      </c>
      <c r="B50" s="88" t="s">
        <v>292</v>
      </c>
      <c r="C50" s="88">
        <v>15</v>
      </c>
      <c r="D50" s="396">
        <f>+SUM(C50:C55)</f>
        <v>158</v>
      </c>
    </row>
    <row r="51" spans="1:4" x14ac:dyDescent="0.2">
      <c r="A51" s="395"/>
      <c r="B51" s="86" t="s">
        <v>293</v>
      </c>
      <c r="C51" s="88">
        <v>15</v>
      </c>
      <c r="D51" s="396"/>
    </row>
    <row r="52" spans="1:4" x14ac:dyDescent="0.2">
      <c r="A52" s="395"/>
      <c r="B52" s="86" t="s">
        <v>294</v>
      </c>
      <c r="C52" s="88">
        <v>60</v>
      </c>
      <c r="D52" s="396"/>
    </row>
    <row r="53" spans="1:4" x14ac:dyDescent="0.2">
      <c r="A53" s="395"/>
      <c r="B53" s="86" t="s">
        <v>294</v>
      </c>
      <c r="C53" s="88">
        <v>8</v>
      </c>
      <c r="D53" s="396"/>
    </row>
    <row r="54" spans="1:4" x14ac:dyDescent="0.2">
      <c r="A54" s="395"/>
      <c r="B54" s="86" t="s">
        <v>294</v>
      </c>
      <c r="C54" s="80">
        <v>12</v>
      </c>
      <c r="D54" s="396"/>
    </row>
    <row r="55" spans="1:4" x14ac:dyDescent="0.2">
      <c r="A55" s="395"/>
      <c r="B55" s="80" t="s">
        <v>294</v>
      </c>
      <c r="C55" s="80">
        <v>48</v>
      </c>
      <c r="D55" s="396"/>
    </row>
    <row r="56" spans="1:4" x14ac:dyDescent="0.2">
      <c r="A56" s="84"/>
      <c r="B56" s="84" t="s">
        <v>295</v>
      </c>
      <c r="C56" s="84"/>
      <c r="D56" s="85">
        <f>SUM(D35:D55)</f>
        <v>563</v>
      </c>
    </row>
    <row r="57" spans="1:4" x14ac:dyDescent="0.2">
      <c r="A57" s="397" t="s">
        <v>296</v>
      </c>
      <c r="B57" s="397"/>
      <c r="C57" s="397"/>
      <c r="D57" s="397"/>
    </row>
    <row r="58" spans="1:4" x14ac:dyDescent="0.2">
      <c r="A58" s="395" t="s">
        <v>162</v>
      </c>
      <c r="B58" s="88" t="s">
        <v>297</v>
      </c>
      <c r="C58" s="88">
        <v>60</v>
      </c>
      <c r="D58" s="401">
        <f>+SUM(C58:C60)</f>
        <v>120</v>
      </c>
    </row>
    <row r="59" spans="1:4" x14ac:dyDescent="0.2">
      <c r="A59" s="395"/>
      <c r="B59" s="86" t="s">
        <v>298</v>
      </c>
      <c r="C59" s="88">
        <v>45</v>
      </c>
      <c r="D59" s="402"/>
    </row>
    <row r="60" spans="1:4" x14ac:dyDescent="0.2">
      <c r="A60" s="395"/>
      <c r="B60" s="80" t="s">
        <v>298</v>
      </c>
      <c r="C60" s="80">
        <v>15</v>
      </c>
      <c r="D60" s="403"/>
    </row>
    <row r="61" spans="1:4" x14ac:dyDescent="0.2">
      <c r="A61" s="391" t="s">
        <v>299</v>
      </c>
      <c r="B61" s="80" t="s">
        <v>300</v>
      </c>
      <c r="C61" s="80">
        <v>15</v>
      </c>
      <c r="D61" s="401">
        <f>+SUM(C61:C64)</f>
        <v>73</v>
      </c>
    </row>
    <row r="62" spans="1:4" x14ac:dyDescent="0.2">
      <c r="A62" s="391"/>
      <c r="B62" s="80" t="s">
        <v>300</v>
      </c>
      <c r="C62" s="80">
        <v>8</v>
      </c>
      <c r="D62" s="402"/>
    </row>
    <row r="63" spans="1:4" x14ac:dyDescent="0.2">
      <c r="A63" s="391"/>
      <c r="B63" s="80" t="s">
        <v>301</v>
      </c>
      <c r="C63" s="80">
        <v>30</v>
      </c>
      <c r="D63" s="402"/>
    </row>
    <row r="64" spans="1:4" x14ac:dyDescent="0.2">
      <c r="A64" s="391"/>
      <c r="B64" s="80" t="s">
        <v>301</v>
      </c>
      <c r="C64" s="80">
        <v>20</v>
      </c>
      <c r="D64" s="403"/>
    </row>
    <row r="65" spans="1:4" x14ac:dyDescent="0.2">
      <c r="A65" s="80" t="s">
        <v>90</v>
      </c>
      <c r="B65" s="80" t="s">
        <v>302</v>
      </c>
      <c r="C65" s="80">
        <v>60</v>
      </c>
      <c r="D65" s="89">
        <f>+C65</f>
        <v>60</v>
      </c>
    </row>
    <row r="66" spans="1:4" x14ac:dyDescent="0.2">
      <c r="A66" s="395" t="s">
        <v>32</v>
      </c>
      <c r="B66" s="88" t="s">
        <v>303</v>
      </c>
      <c r="C66" s="88">
        <v>24</v>
      </c>
      <c r="D66" s="401">
        <f>+SUM(C66:C71)</f>
        <v>144</v>
      </c>
    </row>
    <row r="67" spans="1:4" x14ac:dyDescent="0.2">
      <c r="A67" s="395"/>
      <c r="B67" s="86" t="s">
        <v>303</v>
      </c>
      <c r="C67" s="88">
        <v>15</v>
      </c>
      <c r="D67" s="402"/>
    </row>
    <row r="68" spans="1:4" x14ac:dyDescent="0.2">
      <c r="A68" s="395"/>
      <c r="B68" s="86" t="s">
        <v>303</v>
      </c>
      <c r="C68" s="88">
        <v>15</v>
      </c>
      <c r="D68" s="402"/>
    </row>
    <row r="69" spans="1:4" x14ac:dyDescent="0.2">
      <c r="A69" s="395"/>
      <c r="B69" s="80" t="s">
        <v>156</v>
      </c>
      <c r="C69" s="80">
        <v>45</v>
      </c>
      <c r="D69" s="402"/>
    </row>
    <row r="70" spans="1:4" x14ac:dyDescent="0.2">
      <c r="A70" s="395"/>
      <c r="B70" s="80" t="s">
        <v>304</v>
      </c>
      <c r="C70" s="80">
        <v>30</v>
      </c>
      <c r="D70" s="402"/>
    </row>
    <row r="71" spans="1:4" x14ac:dyDescent="0.2">
      <c r="A71" s="395"/>
      <c r="B71" s="80" t="s">
        <v>304</v>
      </c>
      <c r="C71" s="80">
        <v>15</v>
      </c>
      <c r="D71" s="403"/>
    </row>
    <row r="72" spans="1:4" x14ac:dyDescent="0.2">
      <c r="A72" s="90"/>
      <c r="B72" s="90" t="s">
        <v>305</v>
      </c>
      <c r="C72" s="90"/>
      <c r="D72" s="91">
        <f>SUM(D58:D71)</f>
        <v>397</v>
      </c>
    </row>
    <row r="73" spans="1:4" x14ac:dyDescent="0.2">
      <c r="A73" s="397" t="s">
        <v>306</v>
      </c>
      <c r="B73" s="397"/>
      <c r="C73" s="397"/>
      <c r="D73" s="397"/>
    </row>
    <row r="74" spans="1:4" x14ac:dyDescent="0.2">
      <c r="A74" s="398" t="s">
        <v>164</v>
      </c>
      <c r="B74" s="88" t="s">
        <v>307</v>
      </c>
      <c r="C74" s="88">
        <v>30</v>
      </c>
      <c r="D74" s="401">
        <f>+SUM(C74:C84)</f>
        <v>273</v>
      </c>
    </row>
    <row r="75" spans="1:4" x14ac:dyDescent="0.2">
      <c r="A75" s="399"/>
      <c r="B75" s="86" t="s">
        <v>307</v>
      </c>
      <c r="C75" s="88">
        <v>24</v>
      </c>
      <c r="D75" s="402"/>
    </row>
    <row r="76" spans="1:4" x14ac:dyDescent="0.2">
      <c r="A76" s="399"/>
      <c r="B76" s="86" t="s">
        <v>307</v>
      </c>
      <c r="C76" s="80">
        <v>12</v>
      </c>
      <c r="D76" s="402"/>
    </row>
    <row r="77" spans="1:4" x14ac:dyDescent="0.2">
      <c r="A77" s="399"/>
      <c r="B77" s="80" t="s">
        <v>308</v>
      </c>
      <c r="C77" s="80">
        <v>20</v>
      </c>
      <c r="D77" s="402"/>
    </row>
    <row r="78" spans="1:4" x14ac:dyDescent="0.2">
      <c r="A78" s="399"/>
      <c r="B78" s="80" t="s">
        <v>309</v>
      </c>
      <c r="C78" s="80">
        <v>45</v>
      </c>
      <c r="D78" s="402"/>
    </row>
    <row r="79" spans="1:4" x14ac:dyDescent="0.2">
      <c r="A79" s="399"/>
      <c r="B79" s="80" t="s">
        <v>310</v>
      </c>
      <c r="C79" s="80">
        <v>30</v>
      </c>
      <c r="D79" s="402"/>
    </row>
    <row r="80" spans="1:4" x14ac:dyDescent="0.2">
      <c r="A80" s="399"/>
      <c r="B80" s="80" t="s">
        <v>311</v>
      </c>
      <c r="C80" s="80">
        <v>15</v>
      </c>
      <c r="D80" s="402"/>
    </row>
    <row r="81" spans="1:4" x14ac:dyDescent="0.2">
      <c r="A81" s="399"/>
      <c r="B81" s="80" t="s">
        <v>312</v>
      </c>
      <c r="C81" s="80">
        <v>10</v>
      </c>
      <c r="D81" s="402"/>
    </row>
    <row r="82" spans="1:4" x14ac:dyDescent="0.2">
      <c r="A82" s="399"/>
      <c r="B82" s="80" t="s">
        <v>312</v>
      </c>
      <c r="C82" s="80">
        <v>45</v>
      </c>
      <c r="D82" s="402"/>
    </row>
    <row r="83" spans="1:4" x14ac:dyDescent="0.2">
      <c r="A83" s="399"/>
      <c r="B83" s="80" t="s">
        <v>313</v>
      </c>
      <c r="C83" s="80">
        <v>12</v>
      </c>
      <c r="D83" s="402"/>
    </row>
    <row r="84" spans="1:4" x14ac:dyDescent="0.2">
      <c r="A84" s="400"/>
      <c r="B84" s="80" t="s">
        <v>314</v>
      </c>
      <c r="C84" s="80">
        <v>30</v>
      </c>
      <c r="D84" s="403"/>
    </row>
    <row r="85" spans="1:4" x14ac:dyDescent="0.2">
      <c r="A85" s="398" t="s">
        <v>57</v>
      </c>
      <c r="B85" s="86" t="s">
        <v>315</v>
      </c>
      <c r="C85" s="88">
        <v>30</v>
      </c>
      <c r="D85" s="401">
        <f>+SUM(C85:C96)</f>
        <v>554</v>
      </c>
    </row>
    <row r="86" spans="1:4" x14ac:dyDescent="0.2">
      <c r="A86" s="399"/>
      <c r="B86" s="86" t="s">
        <v>316</v>
      </c>
      <c r="C86" s="88">
        <v>30</v>
      </c>
      <c r="D86" s="402"/>
    </row>
    <row r="87" spans="1:4" x14ac:dyDescent="0.2">
      <c r="A87" s="399"/>
      <c r="B87" s="86" t="s">
        <v>317</v>
      </c>
      <c r="C87" s="88">
        <v>75</v>
      </c>
      <c r="D87" s="402"/>
    </row>
    <row r="88" spans="1:4" x14ac:dyDescent="0.2">
      <c r="A88" s="399"/>
      <c r="B88" s="80" t="s">
        <v>318</v>
      </c>
      <c r="C88" s="80">
        <v>75</v>
      </c>
      <c r="D88" s="402"/>
    </row>
    <row r="89" spans="1:4" x14ac:dyDescent="0.2">
      <c r="A89" s="399"/>
      <c r="B89" s="80" t="s">
        <v>319</v>
      </c>
      <c r="C89" s="80">
        <v>80</v>
      </c>
      <c r="D89" s="402"/>
    </row>
    <row r="90" spans="1:4" x14ac:dyDescent="0.2">
      <c r="A90" s="399"/>
      <c r="B90" s="80" t="s">
        <v>319</v>
      </c>
      <c r="C90" s="80">
        <v>20</v>
      </c>
      <c r="D90" s="402"/>
    </row>
    <row r="91" spans="1:4" x14ac:dyDescent="0.2">
      <c r="A91" s="399"/>
      <c r="B91" s="80" t="s">
        <v>320</v>
      </c>
      <c r="C91" s="80">
        <v>60</v>
      </c>
      <c r="D91" s="402"/>
    </row>
    <row r="92" spans="1:4" x14ac:dyDescent="0.2">
      <c r="A92" s="399"/>
      <c r="B92" s="80" t="s">
        <v>321</v>
      </c>
      <c r="C92" s="80">
        <v>45</v>
      </c>
      <c r="D92" s="402"/>
    </row>
    <row r="93" spans="1:4" x14ac:dyDescent="0.2">
      <c r="A93" s="399"/>
      <c r="B93" s="80" t="s">
        <v>322</v>
      </c>
      <c r="C93" s="80">
        <v>25</v>
      </c>
      <c r="D93" s="402"/>
    </row>
    <row r="94" spans="1:4" x14ac:dyDescent="0.2">
      <c r="A94" s="399"/>
      <c r="B94" s="80" t="s">
        <v>323</v>
      </c>
      <c r="C94" s="80">
        <v>60</v>
      </c>
      <c r="D94" s="402"/>
    </row>
    <row r="95" spans="1:4" x14ac:dyDescent="0.2">
      <c r="A95" s="399"/>
      <c r="B95" s="80" t="s">
        <v>324</v>
      </c>
      <c r="C95" s="80">
        <v>24</v>
      </c>
      <c r="D95" s="402"/>
    </row>
    <row r="96" spans="1:4" x14ac:dyDescent="0.2">
      <c r="A96" s="400"/>
      <c r="B96" s="80" t="s">
        <v>324</v>
      </c>
      <c r="C96" s="80">
        <v>30</v>
      </c>
      <c r="D96" s="403"/>
    </row>
    <row r="97" spans="1:4" x14ac:dyDescent="0.2">
      <c r="A97" s="395" t="s">
        <v>62</v>
      </c>
      <c r="B97" s="88" t="s">
        <v>325</v>
      </c>
      <c r="C97" s="88">
        <v>24</v>
      </c>
      <c r="D97" s="401">
        <f>+SUM(C97:C100)</f>
        <v>71</v>
      </c>
    </row>
    <row r="98" spans="1:4" x14ac:dyDescent="0.2">
      <c r="A98" s="395"/>
      <c r="B98" s="86" t="s">
        <v>325</v>
      </c>
      <c r="C98" s="88">
        <v>24</v>
      </c>
      <c r="D98" s="402"/>
    </row>
    <row r="99" spans="1:4" x14ac:dyDescent="0.2">
      <c r="A99" s="395"/>
      <c r="B99" s="86" t="s">
        <v>326</v>
      </c>
      <c r="C99" s="88">
        <v>8</v>
      </c>
      <c r="D99" s="402"/>
    </row>
    <row r="100" spans="1:4" x14ac:dyDescent="0.2">
      <c r="A100" s="395"/>
      <c r="B100" s="86" t="s">
        <v>327</v>
      </c>
      <c r="C100" s="88">
        <v>15</v>
      </c>
      <c r="D100" s="403"/>
    </row>
    <row r="101" spans="1:4" x14ac:dyDescent="0.2">
      <c r="A101" s="92"/>
      <c r="B101" s="84" t="s">
        <v>328</v>
      </c>
      <c r="C101" s="92"/>
      <c r="D101" s="85">
        <f>SUM(D74:D100)</f>
        <v>898</v>
      </c>
    </row>
    <row r="102" spans="1:4" x14ac:dyDescent="0.2">
      <c r="A102" s="397" t="s">
        <v>329</v>
      </c>
      <c r="B102" s="397"/>
      <c r="C102" s="397"/>
      <c r="D102" s="397"/>
    </row>
    <row r="103" spans="1:4" x14ac:dyDescent="0.2">
      <c r="A103" s="404" t="s">
        <v>27</v>
      </c>
      <c r="B103" s="93" t="s">
        <v>330</v>
      </c>
      <c r="C103" s="87">
        <v>20</v>
      </c>
      <c r="D103" s="405">
        <f>+SUM(C103:C113)</f>
        <v>267</v>
      </c>
    </row>
    <row r="104" spans="1:4" x14ac:dyDescent="0.2">
      <c r="A104" s="404"/>
      <c r="B104" s="93" t="s">
        <v>330</v>
      </c>
      <c r="C104" s="87">
        <v>45</v>
      </c>
      <c r="D104" s="406"/>
    </row>
    <row r="105" spans="1:4" x14ac:dyDescent="0.2">
      <c r="A105" s="404"/>
      <c r="B105" s="93" t="s">
        <v>331</v>
      </c>
      <c r="C105" s="87">
        <v>12</v>
      </c>
      <c r="D105" s="406"/>
    </row>
    <row r="106" spans="1:4" x14ac:dyDescent="0.2">
      <c r="A106" s="404"/>
      <c r="B106" s="93" t="s">
        <v>331</v>
      </c>
      <c r="C106" s="87">
        <v>45</v>
      </c>
      <c r="D106" s="406"/>
    </row>
    <row r="107" spans="1:4" x14ac:dyDescent="0.2">
      <c r="A107" s="404"/>
      <c r="B107" s="93" t="s">
        <v>331</v>
      </c>
      <c r="C107" s="87">
        <v>12</v>
      </c>
      <c r="D107" s="406"/>
    </row>
    <row r="108" spans="1:4" x14ac:dyDescent="0.2">
      <c r="A108" s="404"/>
      <c r="B108" s="93" t="s">
        <v>331</v>
      </c>
      <c r="C108" s="87">
        <v>40</v>
      </c>
      <c r="D108" s="406"/>
    </row>
    <row r="109" spans="1:4" x14ac:dyDescent="0.2">
      <c r="A109" s="404"/>
      <c r="B109" s="93" t="s">
        <v>332</v>
      </c>
      <c r="C109" s="87">
        <v>20</v>
      </c>
      <c r="D109" s="406"/>
    </row>
    <row r="110" spans="1:4" x14ac:dyDescent="0.2">
      <c r="A110" s="404"/>
      <c r="B110" s="93" t="s">
        <v>332</v>
      </c>
      <c r="C110" s="87">
        <v>8</v>
      </c>
      <c r="D110" s="406"/>
    </row>
    <row r="111" spans="1:4" x14ac:dyDescent="0.2">
      <c r="A111" s="404"/>
      <c r="B111" s="93" t="s">
        <v>332</v>
      </c>
      <c r="C111" s="87">
        <v>20</v>
      </c>
      <c r="D111" s="406"/>
    </row>
    <row r="112" spans="1:4" x14ac:dyDescent="0.2">
      <c r="A112" s="404"/>
      <c r="B112" s="93" t="s">
        <v>333</v>
      </c>
      <c r="C112" s="87">
        <v>30</v>
      </c>
      <c r="D112" s="406"/>
    </row>
    <row r="113" spans="1:4" x14ac:dyDescent="0.2">
      <c r="A113" s="404"/>
      <c r="B113" s="93" t="s">
        <v>333</v>
      </c>
      <c r="C113" s="87">
        <v>15</v>
      </c>
      <c r="D113" s="407"/>
    </row>
    <row r="114" spans="1:4" x14ac:dyDescent="0.2">
      <c r="A114" s="404" t="s">
        <v>90</v>
      </c>
      <c r="B114" s="93" t="s">
        <v>334</v>
      </c>
      <c r="C114" s="87">
        <v>40</v>
      </c>
      <c r="D114" s="405">
        <f>+SUM(C114:C131)</f>
        <v>361</v>
      </c>
    </row>
    <row r="115" spans="1:4" x14ac:dyDescent="0.2">
      <c r="A115" s="404"/>
      <c r="B115" s="93" t="s">
        <v>335</v>
      </c>
      <c r="C115" s="87">
        <v>12</v>
      </c>
      <c r="D115" s="406"/>
    </row>
    <row r="116" spans="1:4" x14ac:dyDescent="0.2">
      <c r="A116" s="404"/>
      <c r="B116" s="93" t="s">
        <v>336</v>
      </c>
      <c r="C116" s="87">
        <v>20</v>
      </c>
      <c r="D116" s="406"/>
    </row>
    <row r="117" spans="1:4" x14ac:dyDescent="0.2">
      <c r="A117" s="404"/>
      <c r="B117" s="93" t="s">
        <v>337</v>
      </c>
      <c r="C117" s="87">
        <v>6</v>
      </c>
      <c r="D117" s="406"/>
    </row>
    <row r="118" spans="1:4" x14ac:dyDescent="0.2">
      <c r="A118" s="404"/>
      <c r="B118" s="93" t="s">
        <v>337</v>
      </c>
      <c r="C118" s="87">
        <v>6</v>
      </c>
      <c r="D118" s="406"/>
    </row>
    <row r="119" spans="1:4" x14ac:dyDescent="0.2">
      <c r="A119" s="404"/>
      <c r="B119" s="93" t="s">
        <v>337</v>
      </c>
      <c r="C119" s="87">
        <v>6</v>
      </c>
      <c r="D119" s="406"/>
    </row>
    <row r="120" spans="1:4" x14ac:dyDescent="0.2">
      <c r="A120" s="404"/>
      <c r="B120" s="93" t="s">
        <v>337</v>
      </c>
      <c r="C120" s="87">
        <v>6</v>
      </c>
      <c r="D120" s="406"/>
    </row>
    <row r="121" spans="1:4" x14ac:dyDescent="0.2">
      <c r="A121" s="404"/>
      <c r="B121" s="93" t="s">
        <v>336</v>
      </c>
      <c r="C121" s="87">
        <v>30</v>
      </c>
      <c r="D121" s="406"/>
    </row>
    <row r="122" spans="1:4" x14ac:dyDescent="0.2">
      <c r="A122" s="404"/>
      <c r="B122" s="93" t="s">
        <v>338</v>
      </c>
      <c r="C122" s="87">
        <v>8</v>
      </c>
      <c r="D122" s="406"/>
    </row>
    <row r="123" spans="1:4" x14ac:dyDescent="0.2">
      <c r="A123" s="404"/>
      <c r="B123" s="93" t="s">
        <v>339</v>
      </c>
      <c r="C123" s="87">
        <v>15</v>
      </c>
      <c r="D123" s="406"/>
    </row>
    <row r="124" spans="1:4" x14ac:dyDescent="0.2">
      <c r="A124" s="404"/>
      <c r="B124" s="93" t="s">
        <v>340</v>
      </c>
      <c r="C124" s="87">
        <v>40</v>
      </c>
      <c r="D124" s="406"/>
    </row>
    <row r="125" spans="1:4" x14ac:dyDescent="0.2">
      <c r="A125" s="404"/>
      <c r="B125" s="93" t="s">
        <v>340</v>
      </c>
      <c r="C125" s="87">
        <v>20</v>
      </c>
      <c r="D125" s="406"/>
    </row>
    <row r="126" spans="1:4" x14ac:dyDescent="0.2">
      <c r="A126" s="404"/>
      <c r="B126" s="93" t="s">
        <v>341</v>
      </c>
      <c r="C126" s="87">
        <v>12</v>
      </c>
      <c r="D126" s="406"/>
    </row>
    <row r="127" spans="1:4" x14ac:dyDescent="0.2">
      <c r="A127" s="404"/>
      <c r="B127" s="93" t="s">
        <v>342</v>
      </c>
      <c r="C127" s="87">
        <v>30</v>
      </c>
      <c r="D127" s="406"/>
    </row>
    <row r="128" spans="1:4" x14ac:dyDescent="0.2">
      <c r="A128" s="404"/>
      <c r="B128" s="93" t="s">
        <v>343</v>
      </c>
      <c r="C128" s="87">
        <v>15</v>
      </c>
      <c r="D128" s="406"/>
    </row>
    <row r="129" spans="1:4" x14ac:dyDescent="0.2">
      <c r="A129" s="404"/>
      <c r="B129" s="93" t="s">
        <v>344</v>
      </c>
      <c r="C129" s="87">
        <v>15</v>
      </c>
      <c r="D129" s="406"/>
    </row>
    <row r="130" spans="1:4" x14ac:dyDescent="0.2">
      <c r="A130" s="404"/>
      <c r="B130" s="93" t="s">
        <v>345</v>
      </c>
      <c r="C130" s="87">
        <v>20</v>
      </c>
      <c r="D130" s="406"/>
    </row>
    <row r="131" spans="1:4" x14ac:dyDescent="0.2">
      <c r="A131" s="404"/>
      <c r="B131" s="93" t="s">
        <v>346</v>
      </c>
      <c r="C131" s="87">
        <v>60</v>
      </c>
      <c r="D131" s="407"/>
    </row>
    <row r="132" spans="1:4" x14ac:dyDescent="0.2">
      <c r="A132" s="404" t="s">
        <v>347</v>
      </c>
      <c r="B132" s="93" t="s">
        <v>348</v>
      </c>
      <c r="C132" s="87">
        <v>45</v>
      </c>
      <c r="D132" s="405">
        <f>+SUM(C132:C136)</f>
        <v>167</v>
      </c>
    </row>
    <row r="133" spans="1:4" x14ac:dyDescent="0.2">
      <c r="A133" s="404"/>
      <c r="B133" s="93" t="s">
        <v>349</v>
      </c>
      <c r="C133" s="87">
        <v>20</v>
      </c>
      <c r="D133" s="406"/>
    </row>
    <row r="134" spans="1:4" x14ac:dyDescent="0.2">
      <c r="A134" s="404"/>
      <c r="B134" s="93" t="s">
        <v>350</v>
      </c>
      <c r="C134" s="87">
        <v>60</v>
      </c>
      <c r="D134" s="406"/>
    </row>
    <row r="135" spans="1:4" x14ac:dyDescent="0.2">
      <c r="A135" s="404"/>
      <c r="B135" s="93" t="s">
        <v>350</v>
      </c>
      <c r="C135" s="87">
        <v>12</v>
      </c>
      <c r="D135" s="406"/>
    </row>
    <row r="136" spans="1:4" x14ac:dyDescent="0.2">
      <c r="A136" s="404"/>
      <c r="B136" s="93" t="s">
        <v>351</v>
      </c>
      <c r="C136" s="87">
        <v>30</v>
      </c>
      <c r="D136" s="407"/>
    </row>
    <row r="137" spans="1:4" x14ac:dyDescent="0.2">
      <c r="A137" s="404" t="s">
        <v>57</v>
      </c>
      <c r="B137" s="93" t="s">
        <v>352</v>
      </c>
      <c r="C137" s="87">
        <v>45</v>
      </c>
      <c r="D137" s="405">
        <f>+SUM(C137:C144)</f>
        <v>225</v>
      </c>
    </row>
    <row r="138" spans="1:4" x14ac:dyDescent="0.2">
      <c r="A138" s="404"/>
      <c r="B138" s="93" t="s">
        <v>353</v>
      </c>
      <c r="C138" s="87">
        <v>6</v>
      </c>
      <c r="D138" s="406"/>
    </row>
    <row r="139" spans="1:4" x14ac:dyDescent="0.2">
      <c r="A139" s="404"/>
      <c r="B139" s="93" t="s">
        <v>353</v>
      </c>
      <c r="C139" s="87">
        <v>15</v>
      </c>
      <c r="D139" s="406"/>
    </row>
    <row r="140" spans="1:4" x14ac:dyDescent="0.2">
      <c r="A140" s="404"/>
      <c r="B140" s="93" t="s">
        <v>353</v>
      </c>
      <c r="C140" s="87">
        <v>12</v>
      </c>
      <c r="D140" s="406"/>
    </row>
    <row r="141" spans="1:4" x14ac:dyDescent="0.2">
      <c r="A141" s="404"/>
      <c r="B141" s="93" t="s">
        <v>354</v>
      </c>
      <c r="C141" s="87">
        <v>60</v>
      </c>
      <c r="D141" s="406"/>
    </row>
    <row r="142" spans="1:4" x14ac:dyDescent="0.2">
      <c r="A142" s="404"/>
      <c r="B142" s="93" t="s">
        <v>354</v>
      </c>
      <c r="C142" s="87">
        <v>60</v>
      </c>
      <c r="D142" s="406"/>
    </row>
    <row r="143" spans="1:4" x14ac:dyDescent="0.2">
      <c r="A143" s="404"/>
      <c r="B143" s="93" t="s">
        <v>355</v>
      </c>
      <c r="C143" s="87">
        <v>15</v>
      </c>
      <c r="D143" s="406"/>
    </row>
    <row r="144" spans="1:4" x14ac:dyDescent="0.2">
      <c r="A144" s="404"/>
      <c r="B144" s="93" t="s">
        <v>355</v>
      </c>
      <c r="C144" s="87">
        <v>12</v>
      </c>
      <c r="D144" s="407"/>
    </row>
    <row r="145" spans="1:4" x14ac:dyDescent="0.2">
      <c r="A145" s="404" t="s">
        <v>105</v>
      </c>
      <c r="B145" s="93" t="s">
        <v>356</v>
      </c>
      <c r="C145" s="87">
        <v>12</v>
      </c>
      <c r="D145" s="405">
        <f>+SUM(C145:C152)</f>
        <v>104</v>
      </c>
    </row>
    <row r="146" spans="1:4" x14ac:dyDescent="0.2">
      <c r="A146" s="404"/>
      <c r="B146" s="93" t="s">
        <v>357</v>
      </c>
      <c r="C146" s="87">
        <v>12</v>
      </c>
      <c r="D146" s="406"/>
    </row>
    <row r="147" spans="1:4" x14ac:dyDescent="0.2">
      <c r="A147" s="404"/>
      <c r="B147" s="93" t="s">
        <v>358</v>
      </c>
      <c r="C147" s="87">
        <v>36</v>
      </c>
      <c r="D147" s="406"/>
    </row>
    <row r="148" spans="1:4" x14ac:dyDescent="0.2">
      <c r="A148" s="404"/>
      <c r="B148" s="93" t="s">
        <v>358</v>
      </c>
      <c r="C148" s="87">
        <v>8</v>
      </c>
      <c r="D148" s="406"/>
    </row>
    <row r="149" spans="1:4" x14ac:dyDescent="0.2">
      <c r="A149" s="404"/>
      <c r="B149" s="93" t="s">
        <v>358</v>
      </c>
      <c r="C149" s="87">
        <v>8</v>
      </c>
      <c r="D149" s="406"/>
    </row>
    <row r="150" spans="1:4" x14ac:dyDescent="0.2">
      <c r="A150" s="404"/>
      <c r="B150" s="93" t="s">
        <v>358</v>
      </c>
      <c r="C150" s="87">
        <v>8</v>
      </c>
      <c r="D150" s="406"/>
    </row>
    <row r="151" spans="1:4" x14ac:dyDescent="0.2">
      <c r="A151" s="404"/>
      <c r="B151" s="93" t="s">
        <v>358</v>
      </c>
      <c r="C151" s="87">
        <v>8</v>
      </c>
      <c r="D151" s="406"/>
    </row>
    <row r="152" spans="1:4" x14ac:dyDescent="0.2">
      <c r="A152" s="404"/>
      <c r="B152" s="93" t="s">
        <v>358</v>
      </c>
      <c r="C152" s="87">
        <v>12</v>
      </c>
      <c r="D152" s="407"/>
    </row>
    <row r="153" spans="1:4" x14ac:dyDescent="0.2">
      <c r="A153" s="404" t="s">
        <v>89</v>
      </c>
      <c r="B153" s="93" t="s">
        <v>359</v>
      </c>
      <c r="C153" s="87">
        <v>45</v>
      </c>
      <c r="D153" s="405">
        <f>+SUM(C153:C174)</f>
        <v>656</v>
      </c>
    </row>
    <row r="154" spans="1:4" x14ac:dyDescent="0.2">
      <c r="A154" s="404"/>
      <c r="B154" s="93" t="s">
        <v>359</v>
      </c>
      <c r="C154" s="87">
        <v>30</v>
      </c>
      <c r="D154" s="406"/>
    </row>
    <row r="155" spans="1:4" x14ac:dyDescent="0.2">
      <c r="A155" s="404"/>
      <c r="B155" s="93" t="s">
        <v>359</v>
      </c>
      <c r="C155" s="87">
        <v>20</v>
      </c>
      <c r="D155" s="406"/>
    </row>
    <row r="156" spans="1:4" x14ac:dyDescent="0.2">
      <c r="A156" s="404"/>
      <c r="B156" s="93" t="s">
        <v>360</v>
      </c>
      <c r="C156" s="87">
        <v>45</v>
      </c>
      <c r="D156" s="406"/>
    </row>
    <row r="157" spans="1:4" x14ac:dyDescent="0.2">
      <c r="A157" s="404"/>
      <c r="B157" s="93" t="s">
        <v>360</v>
      </c>
      <c r="C157" s="87">
        <v>36</v>
      </c>
      <c r="D157" s="406"/>
    </row>
    <row r="158" spans="1:4" x14ac:dyDescent="0.2">
      <c r="A158" s="404"/>
      <c r="B158" s="93" t="s">
        <v>360</v>
      </c>
      <c r="C158" s="87">
        <v>10</v>
      </c>
      <c r="D158" s="406"/>
    </row>
    <row r="159" spans="1:4" x14ac:dyDescent="0.2">
      <c r="A159" s="404"/>
      <c r="B159" s="93" t="s">
        <v>360</v>
      </c>
      <c r="C159" s="87">
        <v>60</v>
      </c>
      <c r="D159" s="406"/>
    </row>
    <row r="160" spans="1:4" x14ac:dyDescent="0.2">
      <c r="A160" s="404"/>
      <c r="B160" s="93" t="s">
        <v>361</v>
      </c>
      <c r="C160" s="87">
        <v>60</v>
      </c>
      <c r="D160" s="406"/>
    </row>
    <row r="161" spans="1:4" x14ac:dyDescent="0.2">
      <c r="A161" s="404"/>
      <c r="B161" s="93" t="s">
        <v>362</v>
      </c>
      <c r="C161" s="87">
        <v>30</v>
      </c>
      <c r="D161" s="406"/>
    </row>
    <row r="162" spans="1:4" x14ac:dyDescent="0.2">
      <c r="A162" s="404"/>
      <c r="B162" s="93" t="s">
        <v>363</v>
      </c>
      <c r="C162" s="87">
        <v>24</v>
      </c>
      <c r="D162" s="406"/>
    </row>
    <row r="163" spans="1:4" x14ac:dyDescent="0.2">
      <c r="A163" s="404"/>
      <c r="B163" s="93" t="s">
        <v>364</v>
      </c>
      <c r="C163" s="87">
        <v>45</v>
      </c>
      <c r="D163" s="406"/>
    </row>
    <row r="164" spans="1:4" x14ac:dyDescent="0.2">
      <c r="A164" s="404"/>
      <c r="B164" s="93" t="s">
        <v>365</v>
      </c>
      <c r="C164" s="87">
        <v>100</v>
      </c>
      <c r="D164" s="406"/>
    </row>
    <row r="165" spans="1:4" x14ac:dyDescent="0.2">
      <c r="A165" s="404"/>
      <c r="B165" s="93" t="s">
        <v>65</v>
      </c>
      <c r="C165" s="94" t="s">
        <v>366</v>
      </c>
      <c r="D165" s="406"/>
    </row>
    <row r="166" spans="1:4" x14ac:dyDescent="0.2">
      <c r="A166" s="404"/>
      <c r="B166" s="93" t="s">
        <v>65</v>
      </c>
      <c r="C166" s="94" t="s">
        <v>366</v>
      </c>
      <c r="D166" s="406"/>
    </row>
    <row r="167" spans="1:4" x14ac:dyDescent="0.2">
      <c r="A167" s="404"/>
      <c r="B167" s="93" t="s">
        <v>65</v>
      </c>
      <c r="C167" s="87">
        <v>12</v>
      </c>
      <c r="D167" s="406"/>
    </row>
    <row r="168" spans="1:4" x14ac:dyDescent="0.2">
      <c r="A168" s="404"/>
      <c r="B168" s="93" t="s">
        <v>65</v>
      </c>
      <c r="C168" s="87">
        <v>15</v>
      </c>
      <c r="D168" s="406"/>
    </row>
    <row r="169" spans="1:4" x14ac:dyDescent="0.2">
      <c r="A169" s="404"/>
      <c r="B169" s="93" t="s">
        <v>65</v>
      </c>
      <c r="C169" s="87">
        <v>50</v>
      </c>
      <c r="D169" s="406"/>
    </row>
    <row r="170" spans="1:4" x14ac:dyDescent="0.2">
      <c r="A170" s="404"/>
      <c r="B170" s="93" t="s">
        <v>65</v>
      </c>
      <c r="C170" s="87">
        <v>12</v>
      </c>
      <c r="D170" s="406"/>
    </row>
    <row r="171" spans="1:4" x14ac:dyDescent="0.2">
      <c r="A171" s="404"/>
      <c r="B171" s="93" t="s">
        <v>367</v>
      </c>
      <c r="C171" s="87">
        <v>12</v>
      </c>
      <c r="D171" s="406"/>
    </row>
    <row r="172" spans="1:4" x14ac:dyDescent="0.2">
      <c r="A172" s="404"/>
      <c r="B172" s="93" t="s">
        <v>368</v>
      </c>
      <c r="C172" s="87">
        <v>15</v>
      </c>
      <c r="D172" s="406"/>
    </row>
    <row r="173" spans="1:4" x14ac:dyDescent="0.2">
      <c r="A173" s="404"/>
      <c r="B173" s="93" t="s">
        <v>369</v>
      </c>
      <c r="C173" s="87">
        <v>15</v>
      </c>
      <c r="D173" s="406"/>
    </row>
    <row r="174" spans="1:4" x14ac:dyDescent="0.2">
      <c r="A174" s="404"/>
      <c r="B174" s="93" t="s">
        <v>370</v>
      </c>
      <c r="C174" s="87">
        <v>20</v>
      </c>
      <c r="D174" s="407"/>
    </row>
    <row r="175" spans="1:4" x14ac:dyDescent="0.2">
      <c r="A175" s="404" t="s">
        <v>32</v>
      </c>
      <c r="B175" s="93" t="s">
        <v>371</v>
      </c>
      <c r="C175" s="87">
        <v>36</v>
      </c>
      <c r="D175" s="405">
        <f>+SUM(C175:C178)</f>
        <v>129</v>
      </c>
    </row>
    <row r="176" spans="1:4" x14ac:dyDescent="0.2">
      <c r="A176" s="404"/>
      <c r="B176" s="93" t="s">
        <v>372</v>
      </c>
      <c r="C176" s="87">
        <v>24</v>
      </c>
      <c r="D176" s="406"/>
    </row>
    <row r="177" spans="1:4" x14ac:dyDescent="0.2">
      <c r="A177" s="404"/>
      <c r="B177" s="93" t="s">
        <v>373</v>
      </c>
      <c r="C177" s="87">
        <v>45</v>
      </c>
      <c r="D177" s="406"/>
    </row>
    <row r="178" spans="1:4" x14ac:dyDescent="0.2">
      <c r="A178" s="404"/>
      <c r="B178" s="93" t="s">
        <v>371</v>
      </c>
      <c r="C178" s="87">
        <v>24</v>
      </c>
      <c r="D178" s="407"/>
    </row>
    <row r="179" spans="1:4" x14ac:dyDescent="0.2">
      <c r="A179" s="404" t="s">
        <v>164</v>
      </c>
      <c r="B179" s="93" t="s">
        <v>374</v>
      </c>
      <c r="C179" s="87">
        <v>8</v>
      </c>
      <c r="D179" s="405">
        <f>+SUM(C179:C185)</f>
        <v>111</v>
      </c>
    </row>
    <row r="180" spans="1:4" x14ac:dyDescent="0.2">
      <c r="A180" s="404"/>
      <c r="B180" s="93" t="s">
        <v>375</v>
      </c>
      <c r="C180" s="87">
        <v>15</v>
      </c>
      <c r="D180" s="406"/>
    </row>
    <row r="181" spans="1:4" x14ac:dyDescent="0.2">
      <c r="A181" s="404"/>
      <c r="B181" s="93" t="s">
        <v>375</v>
      </c>
      <c r="C181" s="87">
        <v>8</v>
      </c>
      <c r="D181" s="406"/>
    </row>
    <row r="182" spans="1:4" x14ac:dyDescent="0.2">
      <c r="A182" s="404"/>
      <c r="B182" s="93" t="s">
        <v>375</v>
      </c>
      <c r="C182" s="87">
        <v>6</v>
      </c>
      <c r="D182" s="406"/>
    </row>
    <row r="183" spans="1:4" x14ac:dyDescent="0.2">
      <c r="A183" s="404"/>
      <c r="B183" s="93" t="s">
        <v>375</v>
      </c>
      <c r="C183" s="87">
        <v>8</v>
      </c>
      <c r="D183" s="406"/>
    </row>
    <row r="184" spans="1:4" x14ac:dyDescent="0.2">
      <c r="A184" s="404"/>
      <c r="B184" s="93" t="s">
        <v>376</v>
      </c>
      <c r="C184" s="87">
        <v>60</v>
      </c>
      <c r="D184" s="406"/>
    </row>
    <row r="185" spans="1:4" x14ac:dyDescent="0.2">
      <c r="A185" s="404"/>
      <c r="B185" s="93" t="s">
        <v>376</v>
      </c>
      <c r="C185" s="87">
        <v>6</v>
      </c>
      <c r="D185" s="407"/>
    </row>
    <row r="186" spans="1:4" x14ac:dyDescent="0.2">
      <c r="A186" s="404" t="s">
        <v>260</v>
      </c>
      <c r="B186" s="93" t="s">
        <v>377</v>
      </c>
      <c r="C186" s="87">
        <v>150</v>
      </c>
      <c r="D186" s="405">
        <f>+SUM(C186:C189)</f>
        <v>322</v>
      </c>
    </row>
    <row r="187" spans="1:4" x14ac:dyDescent="0.2">
      <c r="A187" s="404"/>
      <c r="B187" s="93" t="s">
        <v>378</v>
      </c>
      <c r="C187" s="87">
        <v>12</v>
      </c>
      <c r="D187" s="406"/>
    </row>
    <row r="188" spans="1:4" x14ac:dyDescent="0.2">
      <c r="A188" s="404"/>
      <c r="B188" s="93" t="s">
        <v>378</v>
      </c>
      <c r="C188" s="87">
        <v>10</v>
      </c>
      <c r="D188" s="406"/>
    </row>
    <row r="189" spans="1:4" x14ac:dyDescent="0.2">
      <c r="A189" s="404"/>
      <c r="B189" s="93" t="s">
        <v>379</v>
      </c>
      <c r="C189" s="87">
        <v>150</v>
      </c>
      <c r="D189" s="407"/>
    </row>
    <row r="190" spans="1:4" x14ac:dyDescent="0.2">
      <c r="A190" s="404" t="s">
        <v>102</v>
      </c>
      <c r="B190" s="93" t="s">
        <v>380</v>
      </c>
      <c r="C190" s="87">
        <v>8</v>
      </c>
      <c r="D190" s="405">
        <f>+SUM(C190:C194)</f>
        <v>436</v>
      </c>
    </row>
    <row r="191" spans="1:4" x14ac:dyDescent="0.2">
      <c r="A191" s="404"/>
      <c r="B191" s="93" t="s">
        <v>381</v>
      </c>
      <c r="C191" s="87">
        <v>8</v>
      </c>
      <c r="D191" s="406"/>
    </row>
    <row r="192" spans="1:4" x14ac:dyDescent="0.2">
      <c r="A192" s="404"/>
      <c r="B192" s="93" t="s">
        <v>381</v>
      </c>
      <c r="C192" s="87">
        <v>8</v>
      </c>
      <c r="D192" s="406"/>
    </row>
    <row r="193" spans="1:4" x14ac:dyDescent="0.2">
      <c r="A193" s="404"/>
      <c r="B193" s="93" t="s">
        <v>382</v>
      </c>
      <c r="C193" s="87">
        <v>12</v>
      </c>
      <c r="D193" s="406"/>
    </row>
    <row r="194" spans="1:4" x14ac:dyDescent="0.2">
      <c r="A194" s="404"/>
      <c r="B194" s="93" t="s">
        <v>383</v>
      </c>
      <c r="C194" s="87">
        <v>400</v>
      </c>
      <c r="D194" s="407"/>
    </row>
    <row r="195" spans="1:4" x14ac:dyDescent="0.2">
      <c r="A195" s="404" t="s">
        <v>40</v>
      </c>
      <c r="B195" s="93" t="s">
        <v>384</v>
      </c>
      <c r="C195" s="87">
        <v>15</v>
      </c>
      <c r="D195" s="405">
        <f>+SUM(C195:C205)</f>
        <v>236</v>
      </c>
    </row>
    <row r="196" spans="1:4" x14ac:dyDescent="0.2">
      <c r="A196" s="404"/>
      <c r="B196" s="93" t="s">
        <v>385</v>
      </c>
      <c r="C196" s="87">
        <v>40</v>
      </c>
      <c r="D196" s="406"/>
    </row>
    <row r="197" spans="1:4" x14ac:dyDescent="0.2">
      <c r="A197" s="404"/>
      <c r="B197" s="93" t="s">
        <v>386</v>
      </c>
      <c r="C197" s="87">
        <v>15</v>
      </c>
      <c r="D197" s="406"/>
    </row>
    <row r="198" spans="1:4" x14ac:dyDescent="0.2">
      <c r="A198" s="404"/>
      <c r="B198" s="93" t="s">
        <v>387</v>
      </c>
      <c r="C198" s="87">
        <v>12</v>
      </c>
      <c r="D198" s="406"/>
    </row>
    <row r="199" spans="1:4" x14ac:dyDescent="0.2">
      <c r="A199" s="404"/>
      <c r="B199" s="93" t="s">
        <v>387</v>
      </c>
      <c r="C199" s="87">
        <v>15</v>
      </c>
      <c r="D199" s="406"/>
    </row>
    <row r="200" spans="1:4" x14ac:dyDescent="0.2">
      <c r="A200" s="404"/>
      <c r="B200" s="93" t="s">
        <v>387</v>
      </c>
      <c r="C200" s="87">
        <v>12</v>
      </c>
      <c r="D200" s="406"/>
    </row>
    <row r="201" spans="1:4" x14ac:dyDescent="0.2">
      <c r="A201" s="404"/>
      <c r="B201" s="93" t="s">
        <v>387</v>
      </c>
      <c r="C201" s="87">
        <v>45</v>
      </c>
      <c r="D201" s="406"/>
    </row>
    <row r="202" spans="1:4" x14ac:dyDescent="0.2">
      <c r="A202" s="404"/>
      <c r="B202" s="93" t="s">
        <v>388</v>
      </c>
      <c r="C202" s="87">
        <v>30</v>
      </c>
      <c r="D202" s="406"/>
    </row>
    <row r="203" spans="1:4" x14ac:dyDescent="0.2">
      <c r="A203" s="404"/>
      <c r="B203" s="93" t="s">
        <v>388</v>
      </c>
      <c r="C203" s="87">
        <v>10</v>
      </c>
      <c r="D203" s="406"/>
    </row>
    <row r="204" spans="1:4" x14ac:dyDescent="0.2">
      <c r="A204" s="404"/>
      <c r="B204" s="93" t="s">
        <v>388</v>
      </c>
      <c r="C204" s="87">
        <v>12</v>
      </c>
      <c r="D204" s="406"/>
    </row>
    <row r="205" spans="1:4" x14ac:dyDescent="0.2">
      <c r="A205" s="404"/>
      <c r="B205" s="95" t="s">
        <v>389</v>
      </c>
      <c r="C205" s="51">
        <v>30</v>
      </c>
      <c r="D205" s="407"/>
    </row>
    <row r="206" spans="1:4" x14ac:dyDescent="0.2">
      <c r="A206" s="404" t="s">
        <v>39</v>
      </c>
      <c r="B206" s="93" t="s">
        <v>390</v>
      </c>
      <c r="C206" s="87">
        <v>40</v>
      </c>
      <c r="D206" s="405">
        <f>+SUM(C206:C212)</f>
        <v>176</v>
      </c>
    </row>
    <row r="207" spans="1:4" x14ac:dyDescent="0.2">
      <c r="A207" s="404"/>
      <c r="B207" s="93" t="s">
        <v>391</v>
      </c>
      <c r="C207" s="87">
        <v>60</v>
      </c>
      <c r="D207" s="406"/>
    </row>
    <row r="208" spans="1:4" x14ac:dyDescent="0.2">
      <c r="A208" s="404"/>
      <c r="B208" s="93" t="s">
        <v>392</v>
      </c>
      <c r="C208" s="87">
        <v>30</v>
      </c>
      <c r="D208" s="406"/>
    </row>
    <row r="209" spans="1:4" x14ac:dyDescent="0.2">
      <c r="A209" s="404"/>
      <c r="B209" s="93" t="s">
        <v>393</v>
      </c>
      <c r="C209" s="87">
        <v>15</v>
      </c>
      <c r="D209" s="406"/>
    </row>
    <row r="210" spans="1:4" x14ac:dyDescent="0.2">
      <c r="A210" s="404"/>
      <c r="B210" s="93" t="s">
        <v>393</v>
      </c>
      <c r="C210" s="87">
        <v>6</v>
      </c>
      <c r="D210" s="406"/>
    </row>
    <row r="211" spans="1:4" x14ac:dyDescent="0.2">
      <c r="A211" s="404"/>
      <c r="B211" s="93" t="s">
        <v>393</v>
      </c>
      <c r="C211" s="87">
        <v>15</v>
      </c>
      <c r="D211" s="406"/>
    </row>
    <row r="212" spans="1:4" x14ac:dyDescent="0.2">
      <c r="A212" s="404"/>
      <c r="B212" s="93" t="s">
        <v>393</v>
      </c>
      <c r="C212" s="87">
        <v>10</v>
      </c>
      <c r="D212" s="407"/>
    </row>
    <row r="213" spans="1:4" x14ac:dyDescent="0.2">
      <c r="A213" s="92"/>
      <c r="B213" s="84" t="s">
        <v>394</v>
      </c>
      <c r="C213" s="92"/>
      <c r="D213" s="85">
        <f>SUM(D103:D212)</f>
        <v>3190</v>
      </c>
    </row>
    <row r="214" spans="1:4" x14ac:dyDescent="0.2">
      <c r="A214" s="397" t="s">
        <v>395</v>
      </c>
      <c r="B214" s="397"/>
      <c r="C214" s="397"/>
      <c r="D214" s="397"/>
    </row>
    <row r="215" spans="1:4" x14ac:dyDescent="0.2">
      <c r="A215" s="393" t="s">
        <v>27</v>
      </c>
      <c r="B215" s="96" t="s">
        <v>396</v>
      </c>
      <c r="C215" s="87">
        <v>30</v>
      </c>
      <c r="D215" s="408">
        <f>+SUM(C215:C225)</f>
        <v>119</v>
      </c>
    </row>
    <row r="216" spans="1:4" x14ac:dyDescent="0.2">
      <c r="A216" s="393"/>
      <c r="B216" s="96" t="s">
        <v>397</v>
      </c>
      <c r="C216" s="87">
        <v>7</v>
      </c>
      <c r="D216" s="409"/>
    </row>
    <row r="217" spans="1:4" x14ac:dyDescent="0.2">
      <c r="A217" s="393"/>
      <c r="B217" s="96" t="s">
        <v>398</v>
      </c>
      <c r="C217" s="87">
        <v>6</v>
      </c>
      <c r="D217" s="409"/>
    </row>
    <row r="218" spans="1:4" x14ac:dyDescent="0.2">
      <c r="A218" s="393"/>
      <c r="B218" s="96" t="s">
        <v>399</v>
      </c>
      <c r="C218" s="87">
        <v>12</v>
      </c>
      <c r="D218" s="409"/>
    </row>
    <row r="219" spans="1:4" x14ac:dyDescent="0.2">
      <c r="A219" s="393"/>
      <c r="B219" s="96" t="s">
        <v>400</v>
      </c>
      <c r="C219" s="87">
        <v>6</v>
      </c>
      <c r="D219" s="409"/>
    </row>
    <row r="220" spans="1:4" x14ac:dyDescent="0.2">
      <c r="A220" s="393"/>
      <c r="B220" s="411" t="s">
        <v>401</v>
      </c>
      <c r="C220" s="87">
        <v>5</v>
      </c>
      <c r="D220" s="409"/>
    </row>
    <row r="221" spans="1:4" x14ac:dyDescent="0.2">
      <c r="A221" s="393"/>
      <c r="B221" s="411"/>
      <c r="C221" s="87">
        <v>6</v>
      </c>
      <c r="D221" s="409"/>
    </row>
    <row r="222" spans="1:4" x14ac:dyDescent="0.2">
      <c r="A222" s="393"/>
      <c r="B222" s="96" t="s">
        <v>402</v>
      </c>
      <c r="C222" s="87">
        <v>20</v>
      </c>
      <c r="D222" s="409"/>
    </row>
    <row r="223" spans="1:4" x14ac:dyDescent="0.2">
      <c r="A223" s="393"/>
      <c r="B223" s="411" t="s">
        <v>403</v>
      </c>
      <c r="C223" s="87">
        <v>6</v>
      </c>
      <c r="D223" s="409"/>
    </row>
    <row r="224" spans="1:4" x14ac:dyDescent="0.2">
      <c r="A224" s="393"/>
      <c r="B224" s="411"/>
      <c r="C224" s="87">
        <v>10</v>
      </c>
      <c r="D224" s="409"/>
    </row>
    <row r="225" spans="1:4" x14ac:dyDescent="0.2">
      <c r="A225" s="393"/>
      <c r="B225" s="96" t="s">
        <v>404</v>
      </c>
      <c r="C225" s="87">
        <v>11</v>
      </c>
      <c r="D225" s="410"/>
    </row>
    <row r="226" spans="1:4" x14ac:dyDescent="0.2">
      <c r="A226" s="393" t="s">
        <v>90</v>
      </c>
      <c r="B226" s="97" t="s">
        <v>405</v>
      </c>
      <c r="C226" s="87">
        <v>27</v>
      </c>
      <c r="D226" s="408">
        <f>+SUM(C226:C236)</f>
        <v>200</v>
      </c>
    </row>
    <row r="227" spans="1:4" x14ac:dyDescent="0.2">
      <c r="A227" s="393"/>
      <c r="B227" s="412" t="s">
        <v>406</v>
      </c>
      <c r="C227" s="87">
        <v>30</v>
      </c>
      <c r="D227" s="409"/>
    </row>
    <row r="228" spans="1:4" x14ac:dyDescent="0.2">
      <c r="A228" s="393"/>
      <c r="B228" s="412"/>
      <c r="C228" s="87">
        <v>10</v>
      </c>
      <c r="D228" s="409"/>
    </row>
    <row r="229" spans="1:4" x14ac:dyDescent="0.2">
      <c r="A229" s="393"/>
      <c r="B229" s="97" t="s">
        <v>407</v>
      </c>
      <c r="C229" s="87">
        <v>12</v>
      </c>
      <c r="D229" s="409"/>
    </row>
    <row r="230" spans="1:4" x14ac:dyDescent="0.2">
      <c r="A230" s="393"/>
      <c r="B230" s="412" t="s">
        <v>408</v>
      </c>
      <c r="C230" s="87">
        <v>6</v>
      </c>
      <c r="D230" s="409"/>
    </row>
    <row r="231" spans="1:4" x14ac:dyDescent="0.2">
      <c r="A231" s="393"/>
      <c r="B231" s="412"/>
      <c r="C231" s="87">
        <v>8</v>
      </c>
      <c r="D231" s="409"/>
    </row>
    <row r="232" spans="1:4" x14ac:dyDescent="0.2">
      <c r="A232" s="393"/>
      <c r="B232" s="412"/>
      <c r="C232" s="87">
        <v>10</v>
      </c>
      <c r="D232" s="409"/>
    </row>
    <row r="233" spans="1:4" x14ac:dyDescent="0.2">
      <c r="A233" s="393"/>
      <c r="B233" s="412"/>
      <c r="C233" s="87">
        <v>12</v>
      </c>
      <c r="D233" s="409"/>
    </row>
    <row r="234" spans="1:4" x14ac:dyDescent="0.2">
      <c r="A234" s="393"/>
      <c r="B234" s="97" t="s">
        <v>409</v>
      </c>
      <c r="C234" s="87">
        <v>13</v>
      </c>
      <c r="D234" s="409"/>
    </row>
    <row r="235" spans="1:4" x14ac:dyDescent="0.2">
      <c r="A235" s="393"/>
      <c r="B235" s="97" t="s">
        <v>410</v>
      </c>
      <c r="C235" s="87">
        <v>36</v>
      </c>
      <c r="D235" s="409"/>
    </row>
    <row r="236" spans="1:4" x14ac:dyDescent="0.2">
      <c r="A236" s="393"/>
      <c r="B236" s="97" t="s">
        <v>411</v>
      </c>
      <c r="C236" s="87">
        <v>36</v>
      </c>
      <c r="D236" s="410"/>
    </row>
    <row r="237" spans="1:4" x14ac:dyDescent="0.2">
      <c r="A237" s="393" t="s">
        <v>347</v>
      </c>
      <c r="B237" s="98" t="s">
        <v>412</v>
      </c>
      <c r="C237" s="87">
        <v>9</v>
      </c>
      <c r="D237" s="408">
        <f>+SUM(C237:C246)</f>
        <v>119</v>
      </c>
    </row>
    <row r="238" spans="1:4" ht="12.75" customHeight="1" x14ac:dyDescent="0.2">
      <c r="A238" s="393"/>
      <c r="B238" s="413" t="s">
        <v>413</v>
      </c>
      <c r="C238" s="87">
        <v>25</v>
      </c>
      <c r="D238" s="409"/>
    </row>
    <row r="239" spans="1:4" x14ac:dyDescent="0.2">
      <c r="A239" s="393"/>
      <c r="B239" s="413"/>
      <c r="C239" s="87">
        <v>12</v>
      </c>
      <c r="D239" s="409"/>
    </row>
    <row r="240" spans="1:4" ht="25.5" x14ac:dyDescent="0.2">
      <c r="A240" s="393"/>
      <c r="B240" s="96" t="s">
        <v>414</v>
      </c>
      <c r="C240" s="87">
        <v>12</v>
      </c>
      <c r="D240" s="409"/>
    </row>
    <row r="241" spans="1:4" x14ac:dyDescent="0.2">
      <c r="A241" s="393"/>
      <c r="B241" s="98" t="s">
        <v>415</v>
      </c>
      <c r="C241" s="87">
        <v>6</v>
      </c>
      <c r="D241" s="409"/>
    </row>
    <row r="242" spans="1:4" ht="25.5" x14ac:dyDescent="0.2">
      <c r="A242" s="393"/>
      <c r="B242" s="98" t="s">
        <v>416</v>
      </c>
      <c r="C242" s="87">
        <v>8</v>
      </c>
      <c r="D242" s="409"/>
    </row>
    <row r="243" spans="1:4" x14ac:dyDescent="0.2">
      <c r="A243" s="393"/>
      <c r="B243" s="98" t="s">
        <v>417</v>
      </c>
      <c r="C243" s="87">
        <v>12</v>
      </c>
      <c r="D243" s="409"/>
    </row>
    <row r="244" spans="1:4" x14ac:dyDescent="0.2">
      <c r="A244" s="393"/>
      <c r="B244" s="98" t="s">
        <v>418</v>
      </c>
      <c r="C244" s="87">
        <v>17</v>
      </c>
      <c r="D244" s="409"/>
    </row>
    <row r="245" spans="1:4" x14ac:dyDescent="0.2">
      <c r="A245" s="393"/>
      <c r="B245" s="98" t="s">
        <v>419</v>
      </c>
      <c r="C245" s="87">
        <v>12</v>
      </c>
      <c r="D245" s="409"/>
    </row>
    <row r="246" spans="1:4" x14ac:dyDescent="0.2">
      <c r="A246" s="393"/>
      <c r="B246" s="96" t="s">
        <v>420</v>
      </c>
      <c r="C246" s="87">
        <v>6</v>
      </c>
      <c r="D246" s="410"/>
    </row>
    <row r="247" spans="1:4" x14ac:dyDescent="0.2">
      <c r="A247" s="393" t="s">
        <v>57</v>
      </c>
      <c r="B247" s="413" t="s">
        <v>421</v>
      </c>
      <c r="C247" s="87">
        <v>8</v>
      </c>
      <c r="D247" s="408">
        <f>+SUM(C247:C272)</f>
        <v>226</v>
      </c>
    </row>
    <row r="248" spans="1:4" x14ac:dyDescent="0.2">
      <c r="A248" s="393"/>
      <c r="B248" s="413"/>
      <c r="C248" s="87">
        <v>6</v>
      </c>
      <c r="D248" s="409"/>
    </row>
    <row r="249" spans="1:4" x14ac:dyDescent="0.2">
      <c r="A249" s="393"/>
      <c r="B249" s="98" t="s">
        <v>422</v>
      </c>
      <c r="C249" s="87">
        <v>12</v>
      </c>
      <c r="D249" s="409"/>
    </row>
    <row r="250" spans="1:4" x14ac:dyDescent="0.2">
      <c r="A250" s="393"/>
      <c r="B250" s="413" t="s">
        <v>423</v>
      </c>
      <c r="C250" s="87">
        <v>6</v>
      </c>
      <c r="D250" s="409"/>
    </row>
    <row r="251" spans="1:4" x14ac:dyDescent="0.2">
      <c r="A251" s="393"/>
      <c r="B251" s="413"/>
      <c r="C251" s="87">
        <v>12</v>
      </c>
      <c r="D251" s="409"/>
    </row>
    <row r="252" spans="1:4" x14ac:dyDescent="0.2">
      <c r="A252" s="393"/>
      <c r="B252" s="413"/>
      <c r="C252" s="87">
        <v>6</v>
      </c>
      <c r="D252" s="409"/>
    </row>
    <row r="253" spans="1:4" x14ac:dyDescent="0.2">
      <c r="A253" s="393"/>
      <c r="B253" s="411" t="s">
        <v>424</v>
      </c>
      <c r="C253" s="87">
        <v>6</v>
      </c>
      <c r="D253" s="409"/>
    </row>
    <row r="254" spans="1:4" x14ac:dyDescent="0.2">
      <c r="A254" s="393"/>
      <c r="B254" s="411"/>
      <c r="C254" s="87">
        <v>6</v>
      </c>
      <c r="D254" s="409"/>
    </row>
    <row r="255" spans="1:4" x14ac:dyDescent="0.2">
      <c r="A255" s="393"/>
      <c r="B255" s="413" t="s">
        <v>425</v>
      </c>
      <c r="C255" s="87">
        <v>12</v>
      </c>
      <c r="D255" s="409"/>
    </row>
    <row r="256" spans="1:4" x14ac:dyDescent="0.2">
      <c r="A256" s="393"/>
      <c r="B256" s="413"/>
      <c r="C256" s="87">
        <v>8</v>
      </c>
      <c r="D256" s="409"/>
    </row>
    <row r="257" spans="1:4" x14ac:dyDescent="0.2">
      <c r="A257" s="393"/>
      <c r="B257" s="413"/>
      <c r="C257" s="87">
        <v>8</v>
      </c>
      <c r="D257" s="409"/>
    </row>
    <row r="258" spans="1:4" x14ac:dyDescent="0.2">
      <c r="A258" s="393"/>
      <c r="B258" s="413"/>
      <c r="C258" s="87">
        <v>6</v>
      </c>
      <c r="D258" s="409"/>
    </row>
    <row r="259" spans="1:4" x14ac:dyDescent="0.2">
      <c r="A259" s="393"/>
      <c r="B259" s="413"/>
      <c r="C259" s="87">
        <v>8</v>
      </c>
      <c r="D259" s="409"/>
    </row>
    <row r="260" spans="1:4" x14ac:dyDescent="0.2">
      <c r="A260" s="393"/>
      <c r="B260" s="413"/>
      <c r="C260" s="87">
        <v>10</v>
      </c>
      <c r="D260" s="409"/>
    </row>
    <row r="261" spans="1:4" x14ac:dyDescent="0.2">
      <c r="A261" s="393"/>
      <c r="B261" s="413"/>
      <c r="C261" s="87">
        <v>10</v>
      </c>
      <c r="D261" s="409"/>
    </row>
    <row r="262" spans="1:4" x14ac:dyDescent="0.2">
      <c r="A262" s="393"/>
      <c r="B262" s="413"/>
      <c r="C262" s="87">
        <v>10</v>
      </c>
      <c r="D262" s="409"/>
    </row>
    <row r="263" spans="1:4" x14ac:dyDescent="0.2">
      <c r="A263" s="393"/>
      <c r="B263" s="413"/>
      <c r="C263" s="87">
        <v>10</v>
      </c>
      <c r="D263" s="409"/>
    </row>
    <row r="264" spans="1:4" x14ac:dyDescent="0.2">
      <c r="A264" s="393"/>
      <c r="B264" s="96" t="s">
        <v>426</v>
      </c>
      <c r="C264" s="87">
        <v>8</v>
      </c>
      <c r="D264" s="409"/>
    </row>
    <row r="265" spans="1:4" x14ac:dyDescent="0.2">
      <c r="A265" s="393"/>
      <c r="B265" s="98" t="s">
        <v>427</v>
      </c>
      <c r="C265" s="87">
        <v>22</v>
      </c>
      <c r="D265" s="409"/>
    </row>
    <row r="266" spans="1:4" x14ac:dyDescent="0.2">
      <c r="A266" s="393"/>
      <c r="B266" s="98" t="s">
        <v>428</v>
      </c>
      <c r="C266" s="87">
        <v>6</v>
      </c>
      <c r="D266" s="409"/>
    </row>
    <row r="267" spans="1:4" x14ac:dyDescent="0.2">
      <c r="A267" s="393"/>
      <c r="B267" s="413" t="s">
        <v>429</v>
      </c>
      <c r="C267" s="87">
        <v>6</v>
      </c>
      <c r="D267" s="409"/>
    </row>
    <row r="268" spans="1:4" x14ac:dyDescent="0.2">
      <c r="A268" s="393"/>
      <c r="B268" s="413"/>
      <c r="C268" s="87">
        <v>6</v>
      </c>
      <c r="D268" s="409"/>
    </row>
    <row r="269" spans="1:4" x14ac:dyDescent="0.2">
      <c r="A269" s="393"/>
      <c r="B269" s="98" t="s">
        <v>430</v>
      </c>
      <c r="C269" s="87">
        <v>6</v>
      </c>
      <c r="D269" s="409"/>
    </row>
    <row r="270" spans="1:4" x14ac:dyDescent="0.2">
      <c r="A270" s="393"/>
      <c r="B270" s="413" t="s">
        <v>431</v>
      </c>
      <c r="C270" s="87">
        <v>6</v>
      </c>
      <c r="D270" s="409"/>
    </row>
    <row r="271" spans="1:4" x14ac:dyDescent="0.2">
      <c r="A271" s="393"/>
      <c r="B271" s="413"/>
      <c r="C271" s="87">
        <v>10</v>
      </c>
      <c r="D271" s="409"/>
    </row>
    <row r="272" spans="1:4" x14ac:dyDescent="0.2">
      <c r="A272" s="393"/>
      <c r="B272" s="99" t="s">
        <v>432</v>
      </c>
      <c r="C272" s="87">
        <v>12</v>
      </c>
      <c r="D272" s="410"/>
    </row>
    <row r="273" spans="1:4" x14ac:dyDescent="0.2">
      <c r="A273" s="393" t="s">
        <v>88</v>
      </c>
      <c r="B273" s="414" t="s">
        <v>433</v>
      </c>
      <c r="C273" s="87">
        <v>6</v>
      </c>
      <c r="D273" s="408">
        <f>+SUM(C273:C286)</f>
        <v>191</v>
      </c>
    </row>
    <row r="274" spans="1:4" x14ac:dyDescent="0.2">
      <c r="A274" s="393"/>
      <c r="B274" s="414"/>
      <c r="C274" s="87">
        <v>30</v>
      </c>
      <c r="D274" s="409"/>
    </row>
    <row r="275" spans="1:4" x14ac:dyDescent="0.2">
      <c r="A275" s="393"/>
      <c r="B275" s="414"/>
      <c r="C275" s="87">
        <v>6</v>
      </c>
      <c r="D275" s="409"/>
    </row>
    <row r="276" spans="1:4" x14ac:dyDescent="0.2">
      <c r="A276" s="393"/>
      <c r="B276" s="414" t="s">
        <v>434</v>
      </c>
      <c r="C276" s="87">
        <v>10</v>
      </c>
      <c r="D276" s="409"/>
    </row>
    <row r="277" spans="1:4" x14ac:dyDescent="0.2">
      <c r="A277" s="393"/>
      <c r="B277" s="414"/>
      <c r="C277" s="87">
        <v>6</v>
      </c>
      <c r="D277" s="409"/>
    </row>
    <row r="278" spans="1:4" x14ac:dyDescent="0.2">
      <c r="A278" s="393"/>
      <c r="B278" s="98" t="s">
        <v>435</v>
      </c>
      <c r="C278" s="87">
        <v>18</v>
      </c>
      <c r="D278" s="409"/>
    </row>
    <row r="279" spans="1:4" x14ac:dyDescent="0.2">
      <c r="A279" s="393"/>
      <c r="B279" s="100" t="s">
        <v>436</v>
      </c>
      <c r="C279" s="87">
        <v>24</v>
      </c>
      <c r="D279" s="409"/>
    </row>
    <row r="280" spans="1:4" x14ac:dyDescent="0.2">
      <c r="A280" s="393"/>
      <c r="B280" s="414" t="s">
        <v>437</v>
      </c>
      <c r="C280" s="87">
        <v>6</v>
      </c>
      <c r="D280" s="409"/>
    </row>
    <row r="281" spans="1:4" x14ac:dyDescent="0.2">
      <c r="A281" s="393"/>
      <c r="B281" s="414"/>
      <c r="C281" s="87">
        <v>6</v>
      </c>
      <c r="D281" s="409"/>
    </row>
    <row r="282" spans="1:4" x14ac:dyDescent="0.2">
      <c r="A282" s="393"/>
      <c r="B282" s="414"/>
      <c r="C282" s="87">
        <v>12</v>
      </c>
      <c r="D282" s="409"/>
    </row>
    <row r="283" spans="1:4" x14ac:dyDescent="0.2">
      <c r="A283" s="393"/>
      <c r="B283" s="100" t="s">
        <v>438</v>
      </c>
      <c r="C283" s="87">
        <v>12</v>
      </c>
      <c r="D283" s="409"/>
    </row>
    <row r="284" spans="1:4" x14ac:dyDescent="0.2">
      <c r="A284" s="393"/>
      <c r="B284" s="101" t="s">
        <v>439</v>
      </c>
      <c r="C284" s="87">
        <v>9</v>
      </c>
      <c r="D284" s="409"/>
    </row>
    <row r="285" spans="1:4" x14ac:dyDescent="0.2">
      <c r="A285" s="393"/>
      <c r="B285" s="414" t="s">
        <v>440</v>
      </c>
      <c r="C285" s="87">
        <v>16</v>
      </c>
      <c r="D285" s="409"/>
    </row>
    <row r="286" spans="1:4" x14ac:dyDescent="0.2">
      <c r="A286" s="393"/>
      <c r="B286" s="414"/>
      <c r="C286" s="87">
        <v>30</v>
      </c>
      <c r="D286" s="410"/>
    </row>
    <row r="287" spans="1:4" x14ac:dyDescent="0.2">
      <c r="A287" s="393" t="s">
        <v>441</v>
      </c>
      <c r="B287" s="99" t="s">
        <v>442</v>
      </c>
      <c r="C287" s="87">
        <v>6</v>
      </c>
      <c r="D287" s="408">
        <f>+SUM(C287:C304)</f>
        <v>157</v>
      </c>
    </row>
    <row r="288" spans="1:4" x14ac:dyDescent="0.2">
      <c r="A288" s="393"/>
      <c r="B288" s="415" t="s">
        <v>443</v>
      </c>
      <c r="C288" s="87">
        <v>30</v>
      </c>
      <c r="D288" s="409"/>
    </row>
    <row r="289" spans="1:4" x14ac:dyDescent="0.2">
      <c r="A289" s="393"/>
      <c r="B289" s="415"/>
      <c r="C289" s="87">
        <v>12</v>
      </c>
      <c r="D289" s="409"/>
    </row>
    <row r="290" spans="1:4" x14ac:dyDescent="0.2">
      <c r="A290" s="393"/>
      <c r="B290" s="416" t="s">
        <v>444</v>
      </c>
      <c r="C290" s="87">
        <v>12</v>
      </c>
      <c r="D290" s="409"/>
    </row>
    <row r="291" spans="1:4" x14ac:dyDescent="0.2">
      <c r="A291" s="393"/>
      <c r="B291" s="416"/>
      <c r="C291" s="87">
        <v>5</v>
      </c>
      <c r="D291" s="409"/>
    </row>
    <row r="292" spans="1:4" x14ac:dyDescent="0.2">
      <c r="A292" s="393"/>
      <c r="B292" s="416"/>
      <c r="C292" s="87">
        <v>12</v>
      </c>
      <c r="D292" s="409"/>
    </row>
    <row r="293" spans="1:4" x14ac:dyDescent="0.2">
      <c r="A293" s="393"/>
      <c r="B293" s="416"/>
      <c r="C293" s="87">
        <v>6</v>
      </c>
      <c r="D293" s="409"/>
    </row>
    <row r="294" spans="1:4" x14ac:dyDescent="0.2">
      <c r="A294" s="393"/>
      <c r="B294" s="416"/>
      <c r="C294" s="87">
        <v>6</v>
      </c>
      <c r="D294" s="409"/>
    </row>
    <row r="295" spans="1:4" x14ac:dyDescent="0.2">
      <c r="A295" s="393"/>
      <c r="B295" s="416"/>
      <c r="C295" s="87">
        <v>12</v>
      </c>
      <c r="D295" s="409"/>
    </row>
    <row r="296" spans="1:4" x14ac:dyDescent="0.2">
      <c r="A296" s="393"/>
      <c r="B296" s="416"/>
      <c r="C296" s="87">
        <v>6</v>
      </c>
      <c r="D296" s="409"/>
    </row>
    <row r="297" spans="1:4" x14ac:dyDescent="0.2">
      <c r="A297" s="393"/>
      <c r="B297" s="102" t="s">
        <v>445</v>
      </c>
      <c r="C297" s="87">
        <v>6</v>
      </c>
      <c r="D297" s="409"/>
    </row>
    <row r="298" spans="1:4" x14ac:dyDescent="0.2">
      <c r="A298" s="393"/>
      <c r="B298" s="416" t="s">
        <v>446</v>
      </c>
      <c r="C298" s="87">
        <v>6</v>
      </c>
      <c r="D298" s="409"/>
    </row>
    <row r="299" spans="1:4" x14ac:dyDescent="0.2">
      <c r="A299" s="393"/>
      <c r="B299" s="416"/>
      <c r="C299" s="87">
        <v>5</v>
      </c>
      <c r="D299" s="409"/>
    </row>
    <row r="300" spans="1:4" x14ac:dyDescent="0.2">
      <c r="A300" s="393"/>
      <c r="B300" s="416"/>
      <c r="C300" s="87">
        <v>6</v>
      </c>
      <c r="D300" s="409"/>
    </row>
    <row r="301" spans="1:4" x14ac:dyDescent="0.2">
      <c r="A301" s="393"/>
      <c r="B301" s="416"/>
      <c r="C301" s="87">
        <v>6</v>
      </c>
      <c r="D301" s="409"/>
    </row>
    <row r="302" spans="1:4" x14ac:dyDescent="0.2">
      <c r="A302" s="393"/>
      <c r="B302" s="416"/>
      <c r="C302" s="87">
        <v>7</v>
      </c>
      <c r="D302" s="409"/>
    </row>
    <row r="303" spans="1:4" x14ac:dyDescent="0.2">
      <c r="A303" s="393"/>
      <c r="B303" s="102" t="s">
        <v>447</v>
      </c>
      <c r="C303" s="87">
        <v>6</v>
      </c>
      <c r="D303" s="409"/>
    </row>
    <row r="304" spans="1:4" x14ac:dyDescent="0.2">
      <c r="A304" s="393"/>
      <c r="B304" s="102" t="s">
        <v>448</v>
      </c>
      <c r="C304" s="87">
        <v>8</v>
      </c>
      <c r="D304" s="410"/>
    </row>
    <row r="305" spans="1:4" x14ac:dyDescent="0.2">
      <c r="A305" s="393" t="s">
        <v>449</v>
      </c>
      <c r="B305" s="413" t="s">
        <v>450</v>
      </c>
      <c r="C305" s="87">
        <v>7</v>
      </c>
      <c r="D305" s="408">
        <f>+SUM(C305:C325)</f>
        <v>210</v>
      </c>
    </row>
    <row r="306" spans="1:4" x14ac:dyDescent="0.2">
      <c r="A306" s="393"/>
      <c r="B306" s="413"/>
      <c r="C306" s="87">
        <v>5</v>
      </c>
      <c r="D306" s="409"/>
    </row>
    <row r="307" spans="1:4" x14ac:dyDescent="0.2">
      <c r="A307" s="393"/>
      <c r="B307" s="413" t="s">
        <v>451</v>
      </c>
      <c r="C307" s="87">
        <v>7</v>
      </c>
      <c r="D307" s="409"/>
    </row>
    <row r="308" spans="1:4" x14ac:dyDescent="0.2">
      <c r="A308" s="393"/>
      <c r="B308" s="413"/>
      <c r="C308" s="87">
        <v>7</v>
      </c>
      <c r="D308" s="409"/>
    </row>
    <row r="309" spans="1:4" x14ac:dyDescent="0.2">
      <c r="A309" s="393"/>
      <c r="B309" s="96" t="s">
        <v>452</v>
      </c>
      <c r="C309" s="87">
        <v>7</v>
      </c>
      <c r="D309" s="409"/>
    </row>
    <row r="310" spans="1:4" x14ac:dyDescent="0.2">
      <c r="A310" s="393"/>
      <c r="B310" s="413" t="s">
        <v>453</v>
      </c>
      <c r="C310" s="87">
        <v>7</v>
      </c>
      <c r="D310" s="409"/>
    </row>
    <row r="311" spans="1:4" x14ac:dyDescent="0.2">
      <c r="A311" s="393"/>
      <c r="B311" s="413"/>
      <c r="C311" s="87">
        <v>7</v>
      </c>
      <c r="D311" s="409"/>
    </row>
    <row r="312" spans="1:4" x14ac:dyDescent="0.2">
      <c r="A312" s="393"/>
      <c r="B312" s="413"/>
      <c r="C312" s="87">
        <v>6</v>
      </c>
      <c r="D312" s="409"/>
    </row>
    <row r="313" spans="1:4" x14ac:dyDescent="0.2">
      <c r="A313" s="393"/>
      <c r="B313" s="413" t="s">
        <v>454</v>
      </c>
      <c r="C313" s="87">
        <v>6</v>
      </c>
      <c r="D313" s="409"/>
    </row>
    <row r="314" spans="1:4" x14ac:dyDescent="0.2">
      <c r="A314" s="393"/>
      <c r="B314" s="413"/>
      <c r="C314" s="87">
        <v>9</v>
      </c>
      <c r="D314" s="409"/>
    </row>
    <row r="315" spans="1:4" x14ac:dyDescent="0.2">
      <c r="A315" s="393"/>
      <c r="B315" s="413" t="s">
        <v>455</v>
      </c>
      <c r="C315" s="87">
        <v>12</v>
      </c>
      <c r="D315" s="409"/>
    </row>
    <row r="316" spans="1:4" x14ac:dyDescent="0.2">
      <c r="A316" s="393"/>
      <c r="B316" s="413"/>
      <c r="C316" s="87">
        <v>7</v>
      </c>
      <c r="D316" s="409"/>
    </row>
    <row r="317" spans="1:4" x14ac:dyDescent="0.2">
      <c r="A317" s="393"/>
      <c r="B317" s="413"/>
      <c r="C317" s="87">
        <v>10</v>
      </c>
      <c r="D317" s="409"/>
    </row>
    <row r="318" spans="1:4" x14ac:dyDescent="0.2">
      <c r="A318" s="393"/>
      <c r="B318" s="98" t="s">
        <v>456</v>
      </c>
      <c r="C318" s="87">
        <v>20</v>
      </c>
      <c r="D318" s="409"/>
    </row>
    <row r="319" spans="1:4" x14ac:dyDescent="0.2">
      <c r="A319" s="393"/>
      <c r="B319" s="413" t="s">
        <v>457</v>
      </c>
      <c r="C319" s="87">
        <v>7</v>
      </c>
      <c r="D319" s="409"/>
    </row>
    <row r="320" spans="1:4" x14ac:dyDescent="0.2">
      <c r="A320" s="393"/>
      <c r="B320" s="413"/>
      <c r="C320" s="87">
        <v>12</v>
      </c>
      <c r="D320" s="409"/>
    </row>
    <row r="321" spans="1:4" x14ac:dyDescent="0.2">
      <c r="A321" s="393"/>
      <c r="B321" s="413" t="s">
        <v>458</v>
      </c>
      <c r="C321" s="87">
        <v>12</v>
      </c>
      <c r="D321" s="409"/>
    </row>
    <row r="322" spans="1:4" x14ac:dyDescent="0.2">
      <c r="A322" s="393"/>
      <c r="B322" s="413"/>
      <c r="C322" s="87">
        <v>12</v>
      </c>
      <c r="D322" s="409"/>
    </row>
    <row r="323" spans="1:4" x14ac:dyDescent="0.2">
      <c r="A323" s="393"/>
      <c r="B323" s="98" t="s">
        <v>459</v>
      </c>
      <c r="C323" s="87">
        <v>10</v>
      </c>
      <c r="D323" s="409"/>
    </row>
    <row r="324" spans="1:4" x14ac:dyDescent="0.2">
      <c r="A324" s="393"/>
      <c r="B324" s="96" t="s">
        <v>460</v>
      </c>
      <c r="C324" s="87">
        <v>30</v>
      </c>
      <c r="D324" s="409"/>
    </row>
    <row r="325" spans="1:4" x14ac:dyDescent="0.2">
      <c r="A325" s="393"/>
      <c r="B325" s="98" t="s">
        <v>461</v>
      </c>
      <c r="C325" s="87">
        <v>10</v>
      </c>
      <c r="D325" s="410"/>
    </row>
    <row r="326" spans="1:4" x14ac:dyDescent="0.2">
      <c r="A326" s="393" t="s">
        <v>62</v>
      </c>
      <c r="B326" s="413" t="s">
        <v>462</v>
      </c>
      <c r="C326" s="87">
        <v>7</v>
      </c>
      <c r="D326" s="408">
        <f>+SUM(C326:C338)</f>
        <v>129</v>
      </c>
    </row>
    <row r="327" spans="1:4" x14ac:dyDescent="0.2">
      <c r="A327" s="393"/>
      <c r="B327" s="413"/>
      <c r="C327" s="87">
        <v>38</v>
      </c>
      <c r="D327" s="409"/>
    </row>
    <row r="328" spans="1:4" x14ac:dyDescent="0.2">
      <c r="A328" s="393"/>
      <c r="B328" s="98" t="s">
        <v>463</v>
      </c>
      <c r="C328" s="87">
        <v>7</v>
      </c>
      <c r="D328" s="409"/>
    </row>
    <row r="329" spans="1:4" x14ac:dyDescent="0.2">
      <c r="A329" s="393"/>
      <c r="B329" s="98" t="s">
        <v>464</v>
      </c>
      <c r="C329" s="87">
        <v>6</v>
      </c>
      <c r="D329" s="409"/>
    </row>
    <row r="330" spans="1:4" x14ac:dyDescent="0.2">
      <c r="A330" s="393"/>
      <c r="B330" s="98" t="s">
        <v>465</v>
      </c>
      <c r="C330" s="87">
        <v>6</v>
      </c>
      <c r="D330" s="409"/>
    </row>
    <row r="331" spans="1:4" x14ac:dyDescent="0.2">
      <c r="A331" s="393"/>
      <c r="B331" s="98" t="s">
        <v>466</v>
      </c>
      <c r="C331" s="87">
        <v>17</v>
      </c>
      <c r="D331" s="409"/>
    </row>
    <row r="332" spans="1:4" x14ac:dyDescent="0.2">
      <c r="A332" s="393"/>
      <c r="B332" s="413" t="s">
        <v>467</v>
      </c>
      <c r="C332" s="87">
        <v>5</v>
      </c>
      <c r="D332" s="409"/>
    </row>
    <row r="333" spans="1:4" x14ac:dyDescent="0.2">
      <c r="A333" s="393"/>
      <c r="B333" s="413"/>
      <c r="C333" s="87">
        <v>5</v>
      </c>
      <c r="D333" s="409"/>
    </row>
    <row r="334" spans="1:4" x14ac:dyDescent="0.2">
      <c r="A334" s="393"/>
      <c r="B334" s="413" t="s">
        <v>468</v>
      </c>
      <c r="C334" s="87">
        <v>8</v>
      </c>
      <c r="D334" s="409"/>
    </row>
    <row r="335" spans="1:4" x14ac:dyDescent="0.2">
      <c r="A335" s="393"/>
      <c r="B335" s="413"/>
      <c r="C335" s="87">
        <v>5</v>
      </c>
      <c r="D335" s="409"/>
    </row>
    <row r="336" spans="1:4" x14ac:dyDescent="0.2">
      <c r="A336" s="393"/>
      <c r="B336" s="413"/>
      <c r="C336" s="87">
        <v>10</v>
      </c>
      <c r="D336" s="409"/>
    </row>
    <row r="337" spans="1:4" x14ac:dyDescent="0.2">
      <c r="A337" s="393"/>
      <c r="B337" s="413"/>
      <c r="C337" s="87">
        <v>10</v>
      </c>
      <c r="D337" s="409"/>
    </row>
    <row r="338" spans="1:4" x14ac:dyDescent="0.2">
      <c r="A338" s="393"/>
      <c r="B338" s="98" t="s">
        <v>469</v>
      </c>
      <c r="C338" s="87">
        <v>5</v>
      </c>
      <c r="D338" s="410"/>
    </row>
    <row r="339" spans="1:4" x14ac:dyDescent="0.2">
      <c r="A339" s="393" t="s">
        <v>50</v>
      </c>
      <c r="B339" s="98" t="s">
        <v>470</v>
      </c>
      <c r="C339" s="87">
        <v>12</v>
      </c>
      <c r="D339" s="408">
        <f>+SUM(C339:C353)</f>
        <v>120</v>
      </c>
    </row>
    <row r="340" spans="1:4" x14ac:dyDescent="0.2">
      <c r="A340" s="393"/>
      <c r="B340" s="413" t="s">
        <v>471</v>
      </c>
      <c r="C340" s="87">
        <v>6</v>
      </c>
      <c r="D340" s="409"/>
    </row>
    <row r="341" spans="1:4" x14ac:dyDescent="0.2">
      <c r="A341" s="393"/>
      <c r="B341" s="413"/>
      <c r="C341" s="87">
        <v>8</v>
      </c>
      <c r="D341" s="409"/>
    </row>
    <row r="342" spans="1:4" x14ac:dyDescent="0.2">
      <c r="A342" s="393"/>
      <c r="B342" s="413"/>
      <c r="C342" s="87">
        <v>6</v>
      </c>
      <c r="D342" s="409"/>
    </row>
    <row r="343" spans="1:4" x14ac:dyDescent="0.2">
      <c r="A343" s="393"/>
      <c r="B343" s="98" t="s">
        <v>472</v>
      </c>
      <c r="C343" s="87">
        <v>12</v>
      </c>
      <c r="D343" s="409"/>
    </row>
    <row r="344" spans="1:4" x14ac:dyDescent="0.2">
      <c r="A344" s="393"/>
      <c r="B344" s="413" t="s">
        <v>473</v>
      </c>
      <c r="C344" s="87">
        <v>5</v>
      </c>
      <c r="D344" s="409"/>
    </row>
    <row r="345" spans="1:4" x14ac:dyDescent="0.2">
      <c r="A345" s="393"/>
      <c r="B345" s="413"/>
      <c r="C345" s="87">
        <v>6</v>
      </c>
      <c r="D345" s="409"/>
    </row>
    <row r="346" spans="1:4" x14ac:dyDescent="0.2">
      <c r="A346" s="393"/>
      <c r="B346" s="413"/>
      <c r="C346" s="87">
        <v>6</v>
      </c>
      <c r="D346" s="409"/>
    </row>
    <row r="347" spans="1:4" x14ac:dyDescent="0.2">
      <c r="A347" s="393"/>
      <c r="B347" s="413" t="s">
        <v>474</v>
      </c>
      <c r="C347" s="87">
        <v>9</v>
      </c>
      <c r="D347" s="409"/>
    </row>
    <row r="348" spans="1:4" x14ac:dyDescent="0.2">
      <c r="A348" s="393"/>
      <c r="B348" s="413"/>
      <c r="C348" s="87">
        <v>7</v>
      </c>
      <c r="D348" s="409"/>
    </row>
    <row r="349" spans="1:4" x14ac:dyDescent="0.2">
      <c r="A349" s="393"/>
      <c r="B349" s="413"/>
      <c r="C349" s="87">
        <v>10</v>
      </c>
      <c r="D349" s="409"/>
    </row>
    <row r="350" spans="1:4" x14ac:dyDescent="0.2">
      <c r="A350" s="393"/>
      <c r="B350" s="98" t="s">
        <v>475</v>
      </c>
      <c r="C350" s="87">
        <v>12</v>
      </c>
      <c r="D350" s="409"/>
    </row>
    <row r="351" spans="1:4" x14ac:dyDescent="0.2">
      <c r="A351" s="393"/>
      <c r="B351" s="98" t="s">
        <v>476</v>
      </c>
      <c r="C351" s="87">
        <v>7</v>
      </c>
      <c r="D351" s="409"/>
    </row>
    <row r="352" spans="1:4" x14ac:dyDescent="0.2">
      <c r="A352" s="393"/>
      <c r="B352" s="411" t="s">
        <v>477</v>
      </c>
      <c r="C352" s="87">
        <v>8</v>
      </c>
      <c r="D352" s="409"/>
    </row>
    <row r="353" spans="1:4" x14ac:dyDescent="0.2">
      <c r="A353" s="393"/>
      <c r="B353" s="411"/>
      <c r="C353" s="87">
        <v>6</v>
      </c>
      <c r="D353" s="410"/>
    </row>
    <row r="354" spans="1:4" x14ac:dyDescent="0.2">
      <c r="A354" s="393" t="s">
        <v>38</v>
      </c>
      <c r="B354" s="98" t="s">
        <v>478</v>
      </c>
      <c r="C354" s="87">
        <v>15</v>
      </c>
      <c r="D354" s="408">
        <f>+SUM(C354:C367)</f>
        <v>174</v>
      </c>
    </row>
    <row r="355" spans="1:4" x14ac:dyDescent="0.2">
      <c r="A355" s="393"/>
      <c r="B355" s="413" t="s">
        <v>479</v>
      </c>
      <c r="C355" s="87">
        <v>7</v>
      </c>
      <c r="D355" s="409"/>
    </row>
    <row r="356" spans="1:4" x14ac:dyDescent="0.2">
      <c r="A356" s="393"/>
      <c r="B356" s="413"/>
      <c r="C356" s="87">
        <v>6</v>
      </c>
      <c r="D356" s="409"/>
    </row>
    <row r="357" spans="1:4" x14ac:dyDescent="0.2">
      <c r="A357" s="393"/>
      <c r="B357" s="413"/>
      <c r="C357" s="87">
        <v>7</v>
      </c>
      <c r="D357" s="409"/>
    </row>
    <row r="358" spans="1:4" x14ac:dyDescent="0.2">
      <c r="A358" s="393"/>
      <c r="B358" s="413" t="s">
        <v>480</v>
      </c>
      <c r="C358" s="87">
        <v>40</v>
      </c>
      <c r="D358" s="409"/>
    </row>
    <row r="359" spans="1:4" x14ac:dyDescent="0.2">
      <c r="A359" s="393"/>
      <c r="B359" s="413"/>
      <c r="C359" s="87">
        <v>10</v>
      </c>
      <c r="D359" s="409"/>
    </row>
    <row r="360" spans="1:4" x14ac:dyDescent="0.2">
      <c r="A360" s="393"/>
      <c r="B360" s="98" t="s">
        <v>481</v>
      </c>
      <c r="C360" s="87">
        <v>12</v>
      </c>
      <c r="D360" s="409"/>
    </row>
    <row r="361" spans="1:4" x14ac:dyDescent="0.2">
      <c r="A361" s="393"/>
      <c r="B361" s="96" t="s">
        <v>482</v>
      </c>
      <c r="C361" s="87">
        <v>12</v>
      </c>
      <c r="D361" s="409"/>
    </row>
    <row r="362" spans="1:4" x14ac:dyDescent="0.2">
      <c r="A362" s="393"/>
      <c r="B362" s="413" t="s">
        <v>483</v>
      </c>
      <c r="C362" s="87">
        <v>7</v>
      </c>
      <c r="D362" s="409"/>
    </row>
    <row r="363" spans="1:4" x14ac:dyDescent="0.2">
      <c r="A363" s="393"/>
      <c r="B363" s="413"/>
      <c r="C363" s="87">
        <v>11</v>
      </c>
      <c r="D363" s="409"/>
    </row>
    <row r="364" spans="1:4" x14ac:dyDescent="0.2">
      <c r="A364" s="393"/>
      <c r="B364" s="413"/>
      <c r="C364" s="87">
        <v>12</v>
      </c>
      <c r="D364" s="409"/>
    </row>
    <row r="365" spans="1:4" x14ac:dyDescent="0.2">
      <c r="A365" s="393"/>
      <c r="B365" s="98" t="s">
        <v>484</v>
      </c>
      <c r="C365" s="87">
        <v>7</v>
      </c>
      <c r="D365" s="409"/>
    </row>
    <row r="366" spans="1:4" x14ac:dyDescent="0.2">
      <c r="A366" s="393"/>
      <c r="B366" s="98" t="s">
        <v>485</v>
      </c>
      <c r="C366" s="87">
        <v>18</v>
      </c>
      <c r="D366" s="409"/>
    </row>
    <row r="367" spans="1:4" x14ac:dyDescent="0.2">
      <c r="A367" s="393"/>
      <c r="B367" s="98" t="s">
        <v>486</v>
      </c>
      <c r="C367" s="87">
        <v>10</v>
      </c>
      <c r="D367" s="410"/>
    </row>
    <row r="368" spans="1:4" x14ac:dyDescent="0.2">
      <c r="A368" s="393" t="s">
        <v>487</v>
      </c>
      <c r="B368" s="413" t="s">
        <v>488</v>
      </c>
      <c r="C368" s="87">
        <v>6</v>
      </c>
      <c r="D368" s="408">
        <f>+SUM(C368:C383)</f>
        <v>103</v>
      </c>
    </row>
    <row r="369" spans="1:4" x14ac:dyDescent="0.2">
      <c r="A369" s="393"/>
      <c r="B369" s="413"/>
      <c r="C369" s="87">
        <v>6</v>
      </c>
      <c r="D369" s="409"/>
    </row>
    <row r="370" spans="1:4" x14ac:dyDescent="0.2">
      <c r="A370" s="393"/>
      <c r="B370" s="413"/>
      <c r="C370" s="87">
        <v>6</v>
      </c>
      <c r="D370" s="409"/>
    </row>
    <row r="371" spans="1:4" x14ac:dyDescent="0.2">
      <c r="A371" s="393"/>
      <c r="B371" s="413"/>
      <c r="C371" s="87">
        <v>6</v>
      </c>
      <c r="D371" s="409"/>
    </row>
    <row r="372" spans="1:4" x14ac:dyDescent="0.2">
      <c r="A372" s="393"/>
      <c r="B372" s="413" t="s">
        <v>489</v>
      </c>
      <c r="C372" s="87">
        <v>6</v>
      </c>
      <c r="D372" s="409"/>
    </row>
    <row r="373" spans="1:4" x14ac:dyDescent="0.2">
      <c r="A373" s="393"/>
      <c r="B373" s="414"/>
      <c r="C373" s="87">
        <v>6</v>
      </c>
      <c r="D373" s="409"/>
    </row>
    <row r="374" spans="1:4" x14ac:dyDescent="0.2">
      <c r="A374" s="393"/>
      <c r="B374" s="414"/>
      <c r="C374" s="87">
        <v>6</v>
      </c>
      <c r="D374" s="409"/>
    </row>
    <row r="375" spans="1:4" x14ac:dyDescent="0.2">
      <c r="A375" s="393"/>
      <c r="B375" s="414"/>
      <c r="C375" s="87">
        <v>6</v>
      </c>
      <c r="D375" s="409"/>
    </row>
    <row r="376" spans="1:4" x14ac:dyDescent="0.2">
      <c r="A376" s="393"/>
      <c r="B376" s="414"/>
      <c r="C376" s="87">
        <v>6</v>
      </c>
      <c r="D376" s="409"/>
    </row>
    <row r="377" spans="1:4" x14ac:dyDescent="0.2">
      <c r="A377" s="393"/>
      <c r="B377" s="98" t="s">
        <v>490</v>
      </c>
      <c r="C377" s="87">
        <v>5</v>
      </c>
      <c r="D377" s="409"/>
    </row>
    <row r="378" spans="1:4" x14ac:dyDescent="0.2">
      <c r="A378" s="393"/>
      <c r="B378" s="413" t="s">
        <v>491</v>
      </c>
      <c r="C378" s="87">
        <v>10</v>
      </c>
      <c r="D378" s="409"/>
    </row>
    <row r="379" spans="1:4" x14ac:dyDescent="0.2">
      <c r="A379" s="393"/>
      <c r="B379" s="414"/>
      <c r="C379" s="87">
        <v>6</v>
      </c>
      <c r="D379" s="409"/>
    </row>
    <row r="380" spans="1:4" x14ac:dyDescent="0.2">
      <c r="A380" s="393"/>
      <c r="B380" s="414"/>
      <c r="C380" s="87">
        <v>6</v>
      </c>
      <c r="D380" s="409"/>
    </row>
    <row r="381" spans="1:4" x14ac:dyDescent="0.2">
      <c r="A381" s="393"/>
      <c r="B381" s="413" t="s">
        <v>492</v>
      </c>
      <c r="C381" s="87">
        <v>5</v>
      </c>
      <c r="D381" s="409"/>
    </row>
    <row r="382" spans="1:4" x14ac:dyDescent="0.2">
      <c r="A382" s="393"/>
      <c r="B382" s="413"/>
      <c r="C382" s="87">
        <v>5</v>
      </c>
      <c r="D382" s="409"/>
    </row>
    <row r="383" spans="1:4" x14ac:dyDescent="0.2">
      <c r="A383" s="393"/>
      <c r="B383" s="98" t="s">
        <v>493</v>
      </c>
      <c r="C383" s="87">
        <v>12</v>
      </c>
      <c r="D383" s="410"/>
    </row>
    <row r="384" spans="1:4" x14ac:dyDescent="0.2">
      <c r="A384" s="393" t="s">
        <v>40</v>
      </c>
      <c r="B384" s="98" t="s">
        <v>494</v>
      </c>
      <c r="C384" s="87">
        <v>13</v>
      </c>
      <c r="D384" s="408">
        <f>+SUM(C384:C391)</f>
        <v>86</v>
      </c>
    </row>
    <row r="385" spans="1:4" x14ac:dyDescent="0.2">
      <c r="A385" s="393"/>
      <c r="B385" s="98" t="s">
        <v>495</v>
      </c>
      <c r="C385" s="87">
        <v>21</v>
      </c>
      <c r="D385" s="409"/>
    </row>
    <row r="386" spans="1:4" x14ac:dyDescent="0.2">
      <c r="A386" s="393"/>
      <c r="B386" s="413" t="s">
        <v>496</v>
      </c>
      <c r="C386" s="87">
        <v>6</v>
      </c>
      <c r="D386" s="409"/>
    </row>
    <row r="387" spans="1:4" x14ac:dyDescent="0.2">
      <c r="A387" s="393"/>
      <c r="B387" s="413"/>
      <c r="C387" s="87">
        <v>6</v>
      </c>
      <c r="D387" s="409"/>
    </row>
    <row r="388" spans="1:4" x14ac:dyDescent="0.2">
      <c r="A388" s="393"/>
      <c r="B388" s="413"/>
      <c r="C388" s="87">
        <v>8</v>
      </c>
      <c r="D388" s="409"/>
    </row>
    <row r="389" spans="1:4" x14ac:dyDescent="0.2">
      <c r="A389" s="393"/>
      <c r="B389" s="413" t="s">
        <v>497</v>
      </c>
      <c r="C389" s="87">
        <v>6</v>
      </c>
      <c r="D389" s="409"/>
    </row>
    <row r="390" spans="1:4" x14ac:dyDescent="0.2">
      <c r="A390" s="393"/>
      <c r="B390" s="413"/>
      <c r="C390" s="87">
        <v>6</v>
      </c>
      <c r="D390" s="409"/>
    </row>
    <row r="391" spans="1:4" x14ac:dyDescent="0.2">
      <c r="A391" s="393"/>
      <c r="B391" s="413"/>
      <c r="C391" s="87">
        <v>20</v>
      </c>
      <c r="D391" s="410"/>
    </row>
    <row r="392" spans="1:4" ht="25.5" x14ac:dyDescent="0.2">
      <c r="A392" s="401" t="s">
        <v>39</v>
      </c>
      <c r="B392" s="100" t="s">
        <v>498</v>
      </c>
      <c r="C392" s="87">
        <v>23</v>
      </c>
      <c r="D392" s="408">
        <f>+SUM(C392:C421)</f>
        <v>366</v>
      </c>
    </row>
    <row r="393" spans="1:4" ht="25.5" x14ac:dyDescent="0.2">
      <c r="A393" s="402"/>
      <c r="B393" s="100" t="s">
        <v>498</v>
      </c>
      <c r="C393" s="87">
        <v>8</v>
      </c>
      <c r="D393" s="409"/>
    </row>
    <row r="394" spans="1:4" x14ac:dyDescent="0.2">
      <c r="A394" s="402"/>
      <c r="B394" s="414" t="s">
        <v>499</v>
      </c>
      <c r="C394" s="87">
        <v>8</v>
      </c>
      <c r="D394" s="409"/>
    </row>
    <row r="395" spans="1:4" x14ac:dyDescent="0.2">
      <c r="A395" s="402"/>
      <c r="B395" s="414"/>
      <c r="C395" s="87">
        <v>8</v>
      </c>
      <c r="D395" s="409"/>
    </row>
    <row r="396" spans="1:4" x14ac:dyDescent="0.2">
      <c r="A396" s="402"/>
      <c r="B396" s="414"/>
      <c r="C396" s="87">
        <v>6</v>
      </c>
      <c r="D396" s="409"/>
    </row>
    <row r="397" spans="1:4" ht="25.5" x14ac:dyDescent="0.2">
      <c r="A397" s="402"/>
      <c r="B397" s="100" t="s">
        <v>500</v>
      </c>
      <c r="C397" s="87">
        <v>52</v>
      </c>
      <c r="D397" s="409"/>
    </row>
    <row r="398" spans="1:4" x14ac:dyDescent="0.2">
      <c r="A398" s="402"/>
      <c r="B398" s="414" t="s">
        <v>501</v>
      </c>
      <c r="C398" s="87">
        <v>12</v>
      </c>
      <c r="D398" s="409"/>
    </row>
    <row r="399" spans="1:4" x14ac:dyDescent="0.2">
      <c r="A399" s="402"/>
      <c r="B399" s="414"/>
      <c r="C399" s="87">
        <v>25</v>
      </c>
      <c r="D399" s="409"/>
    </row>
    <row r="400" spans="1:4" x14ac:dyDescent="0.2">
      <c r="A400" s="402"/>
      <c r="B400" s="414" t="s">
        <v>502</v>
      </c>
      <c r="C400" s="87">
        <v>9</v>
      </c>
      <c r="D400" s="409"/>
    </row>
    <row r="401" spans="1:4" x14ac:dyDescent="0.2">
      <c r="A401" s="402"/>
      <c r="B401" s="414"/>
      <c r="C401" s="87">
        <v>12</v>
      </c>
      <c r="D401" s="409"/>
    </row>
    <row r="402" spans="1:4" x14ac:dyDescent="0.2">
      <c r="A402" s="402"/>
      <c r="B402" s="414"/>
      <c r="C402" s="87">
        <v>10</v>
      </c>
      <c r="D402" s="409"/>
    </row>
    <row r="403" spans="1:4" x14ac:dyDescent="0.2">
      <c r="A403" s="402"/>
      <c r="B403" s="414"/>
      <c r="C403" s="87">
        <v>12</v>
      </c>
      <c r="D403" s="409"/>
    </row>
    <row r="404" spans="1:4" x14ac:dyDescent="0.2">
      <c r="A404" s="402"/>
      <c r="B404" s="414" t="s">
        <v>503</v>
      </c>
      <c r="C404" s="87">
        <v>7</v>
      </c>
      <c r="D404" s="409"/>
    </row>
    <row r="405" spans="1:4" x14ac:dyDescent="0.2">
      <c r="A405" s="402"/>
      <c r="B405" s="414"/>
      <c r="C405" s="87">
        <v>6</v>
      </c>
      <c r="D405" s="409"/>
    </row>
    <row r="406" spans="1:4" x14ac:dyDescent="0.2">
      <c r="A406" s="402"/>
      <c r="B406" s="414"/>
      <c r="C406" s="87">
        <v>6</v>
      </c>
      <c r="D406" s="409"/>
    </row>
    <row r="407" spans="1:4" x14ac:dyDescent="0.2">
      <c r="A407" s="402"/>
      <c r="B407" s="414"/>
      <c r="C407" s="87">
        <v>6</v>
      </c>
      <c r="D407" s="409"/>
    </row>
    <row r="408" spans="1:4" x14ac:dyDescent="0.2">
      <c r="A408" s="402"/>
      <c r="B408" s="414" t="s">
        <v>504</v>
      </c>
      <c r="C408" s="87">
        <v>10</v>
      </c>
      <c r="D408" s="409"/>
    </row>
    <row r="409" spans="1:4" x14ac:dyDescent="0.2">
      <c r="A409" s="402"/>
      <c r="B409" s="414"/>
      <c r="C409" s="87">
        <v>18</v>
      </c>
      <c r="D409" s="409"/>
    </row>
    <row r="410" spans="1:4" x14ac:dyDescent="0.2">
      <c r="A410" s="402"/>
      <c r="B410" s="414" t="s">
        <v>505</v>
      </c>
      <c r="C410" s="87">
        <v>15</v>
      </c>
      <c r="D410" s="409"/>
    </row>
    <row r="411" spans="1:4" x14ac:dyDescent="0.2">
      <c r="A411" s="402"/>
      <c r="B411" s="414"/>
      <c r="C411" s="87">
        <v>13</v>
      </c>
      <c r="D411" s="409"/>
    </row>
    <row r="412" spans="1:4" x14ac:dyDescent="0.2">
      <c r="A412" s="402"/>
      <c r="B412" s="100" t="s">
        <v>506</v>
      </c>
      <c r="C412" s="87">
        <v>11</v>
      </c>
      <c r="D412" s="409"/>
    </row>
    <row r="413" spans="1:4" x14ac:dyDescent="0.2">
      <c r="A413" s="402"/>
      <c r="B413" s="100" t="s">
        <v>507</v>
      </c>
      <c r="C413" s="87">
        <v>12</v>
      </c>
      <c r="D413" s="409"/>
    </row>
    <row r="414" spans="1:4" x14ac:dyDescent="0.2">
      <c r="A414" s="402"/>
      <c r="B414" s="414" t="s">
        <v>508</v>
      </c>
      <c r="C414" s="87">
        <v>10</v>
      </c>
      <c r="D414" s="409"/>
    </row>
    <row r="415" spans="1:4" x14ac:dyDescent="0.2">
      <c r="A415" s="402"/>
      <c r="B415" s="414"/>
      <c r="C415" s="87">
        <v>5</v>
      </c>
      <c r="D415" s="409"/>
    </row>
    <row r="416" spans="1:4" x14ac:dyDescent="0.2">
      <c r="A416" s="402"/>
      <c r="B416" s="414"/>
      <c r="C416" s="87">
        <v>5</v>
      </c>
      <c r="D416" s="409"/>
    </row>
    <row r="417" spans="1:4" x14ac:dyDescent="0.2">
      <c r="A417" s="402"/>
      <c r="B417" s="414"/>
      <c r="C417" s="87">
        <v>11</v>
      </c>
      <c r="D417" s="409"/>
    </row>
    <row r="418" spans="1:4" x14ac:dyDescent="0.2">
      <c r="A418" s="402"/>
      <c r="B418" s="414"/>
      <c r="C418" s="87">
        <v>28</v>
      </c>
      <c r="D418" s="409"/>
    </row>
    <row r="419" spans="1:4" x14ac:dyDescent="0.2">
      <c r="A419" s="402"/>
      <c r="B419" s="414"/>
      <c r="C419" s="87">
        <v>6</v>
      </c>
      <c r="D419" s="409"/>
    </row>
    <row r="420" spans="1:4" x14ac:dyDescent="0.2">
      <c r="A420" s="402"/>
      <c r="B420" s="414"/>
      <c r="C420" s="87">
        <v>6</v>
      </c>
      <c r="D420" s="409"/>
    </row>
    <row r="421" spans="1:4" x14ac:dyDescent="0.2">
      <c r="A421" s="403"/>
      <c r="B421" s="414"/>
      <c r="C421" s="87">
        <v>6</v>
      </c>
      <c r="D421" s="410"/>
    </row>
    <row r="422" spans="1:4" x14ac:dyDescent="0.2">
      <c r="A422" s="92"/>
      <c r="B422" s="84" t="s">
        <v>509</v>
      </c>
      <c r="C422" s="92"/>
      <c r="D422" s="85">
        <f>SUM(D215:D421)</f>
        <v>2200</v>
      </c>
    </row>
  </sheetData>
  <mergeCells count="139">
    <mergeCell ref="A368:A383"/>
    <mergeCell ref="B368:B371"/>
    <mergeCell ref="D368:D383"/>
    <mergeCell ref="B372:B376"/>
    <mergeCell ref="B378:B380"/>
    <mergeCell ref="B404:B407"/>
    <mergeCell ref="B408:B409"/>
    <mergeCell ref="B410:B411"/>
    <mergeCell ref="B414:B421"/>
    <mergeCell ref="B381:B382"/>
    <mergeCell ref="A384:A391"/>
    <mergeCell ref="D384:D391"/>
    <mergeCell ref="B386:B388"/>
    <mergeCell ref="B389:B391"/>
    <mergeCell ref="A392:A421"/>
    <mergeCell ref="D392:D421"/>
    <mergeCell ref="B394:B396"/>
    <mergeCell ref="B398:B399"/>
    <mergeCell ref="B400:B403"/>
    <mergeCell ref="A339:A353"/>
    <mergeCell ref="D339:D353"/>
    <mergeCell ref="B340:B342"/>
    <mergeCell ref="B344:B346"/>
    <mergeCell ref="B347:B349"/>
    <mergeCell ref="B352:B353"/>
    <mergeCell ref="A354:A367"/>
    <mergeCell ref="D354:D367"/>
    <mergeCell ref="B355:B357"/>
    <mergeCell ref="B358:B359"/>
    <mergeCell ref="B362:B364"/>
    <mergeCell ref="B313:B314"/>
    <mergeCell ref="B315:B317"/>
    <mergeCell ref="B319:B320"/>
    <mergeCell ref="B321:B322"/>
    <mergeCell ref="A326:A338"/>
    <mergeCell ref="B326:B327"/>
    <mergeCell ref="A287:A304"/>
    <mergeCell ref="D287:D304"/>
    <mergeCell ref="B288:B289"/>
    <mergeCell ref="B290:B296"/>
    <mergeCell ref="B298:B302"/>
    <mergeCell ref="A305:A325"/>
    <mergeCell ref="B305:B306"/>
    <mergeCell ref="D305:D325"/>
    <mergeCell ref="B307:B308"/>
    <mergeCell ref="B310:B312"/>
    <mergeCell ref="D326:D338"/>
    <mergeCell ref="B332:B333"/>
    <mergeCell ref="B334:B337"/>
    <mergeCell ref="B270:B271"/>
    <mergeCell ref="A273:A286"/>
    <mergeCell ref="B273:B275"/>
    <mergeCell ref="D273:D286"/>
    <mergeCell ref="B276:B277"/>
    <mergeCell ref="B280:B282"/>
    <mergeCell ref="B285:B286"/>
    <mergeCell ref="A237:A246"/>
    <mergeCell ref="D237:D246"/>
    <mergeCell ref="B238:B239"/>
    <mergeCell ref="A247:A272"/>
    <mergeCell ref="B247:B248"/>
    <mergeCell ref="D247:D272"/>
    <mergeCell ref="B250:B252"/>
    <mergeCell ref="B253:B254"/>
    <mergeCell ref="B255:B263"/>
    <mergeCell ref="B267:B268"/>
    <mergeCell ref="A214:D214"/>
    <mergeCell ref="A215:A225"/>
    <mergeCell ref="D215:D225"/>
    <mergeCell ref="B220:B221"/>
    <mergeCell ref="B223:B224"/>
    <mergeCell ref="A226:A236"/>
    <mergeCell ref="D226:D236"/>
    <mergeCell ref="B227:B228"/>
    <mergeCell ref="B230:B233"/>
    <mergeCell ref="A190:A194"/>
    <mergeCell ref="D190:D194"/>
    <mergeCell ref="A195:A205"/>
    <mergeCell ref="D195:D205"/>
    <mergeCell ref="A206:A212"/>
    <mergeCell ref="D206:D212"/>
    <mergeCell ref="A175:A178"/>
    <mergeCell ref="D175:D178"/>
    <mergeCell ref="A179:A185"/>
    <mergeCell ref="D179:D185"/>
    <mergeCell ref="A186:A189"/>
    <mergeCell ref="D186:D189"/>
    <mergeCell ref="A137:A144"/>
    <mergeCell ref="D137:D144"/>
    <mergeCell ref="A145:A152"/>
    <mergeCell ref="D145:D152"/>
    <mergeCell ref="A153:A174"/>
    <mergeCell ref="D153:D174"/>
    <mergeCell ref="A102:D102"/>
    <mergeCell ref="A103:A113"/>
    <mergeCell ref="D103:D113"/>
    <mergeCell ref="A114:A131"/>
    <mergeCell ref="D114:D131"/>
    <mergeCell ref="A132:A136"/>
    <mergeCell ref="D132:D136"/>
    <mergeCell ref="A73:D73"/>
    <mergeCell ref="A74:A84"/>
    <mergeCell ref="D74:D84"/>
    <mergeCell ref="A85:A96"/>
    <mergeCell ref="D85:D96"/>
    <mergeCell ref="A97:A100"/>
    <mergeCell ref="D97:D100"/>
    <mergeCell ref="A57:D57"/>
    <mergeCell ref="A58:A60"/>
    <mergeCell ref="D58:D60"/>
    <mergeCell ref="A61:A64"/>
    <mergeCell ref="D61:D64"/>
    <mergeCell ref="A66:A71"/>
    <mergeCell ref="D66:D71"/>
    <mergeCell ref="A42:A44"/>
    <mergeCell ref="D42:D44"/>
    <mergeCell ref="A45:A49"/>
    <mergeCell ref="D45:D49"/>
    <mergeCell ref="A50:A55"/>
    <mergeCell ref="D50:D55"/>
    <mergeCell ref="A31:D31"/>
    <mergeCell ref="A34:D34"/>
    <mergeCell ref="A35:A38"/>
    <mergeCell ref="D35:D38"/>
    <mergeCell ref="A39:A41"/>
    <mergeCell ref="D39:D41"/>
    <mergeCell ref="A20:A22"/>
    <mergeCell ref="D20:D22"/>
    <mergeCell ref="A24:A26"/>
    <mergeCell ref="D24:D26"/>
    <mergeCell ref="A27:A29"/>
    <mergeCell ref="D27:D29"/>
    <mergeCell ref="A4:D4"/>
    <mergeCell ref="A6:D6"/>
    <mergeCell ref="A9:D9"/>
    <mergeCell ref="A10:A14"/>
    <mergeCell ref="D10:D14"/>
    <mergeCell ref="A15:A17"/>
    <mergeCell ref="D15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9" workbookViewId="0">
      <selection activeCell="H17" sqref="H17"/>
    </sheetView>
  </sheetViews>
  <sheetFormatPr defaultRowHeight="15" x14ac:dyDescent="0.25"/>
  <cols>
    <col min="2" max="2" width="15.140625" customWidth="1"/>
    <col min="3" max="3" width="0" hidden="1" customWidth="1"/>
    <col min="5" max="5" width="20" hidden="1" customWidth="1"/>
    <col min="6" max="6" width="25" customWidth="1"/>
    <col min="7" max="7" width="11" customWidth="1"/>
    <col min="8" max="8" width="16.5703125" customWidth="1"/>
    <col min="9" max="9" width="17.42578125" customWidth="1"/>
    <col min="10" max="15" width="12.7109375" customWidth="1"/>
  </cols>
  <sheetData>
    <row r="1" spans="1:15" x14ac:dyDescent="0.25">
      <c r="A1" s="155" t="s">
        <v>21</v>
      </c>
      <c r="B1" s="155"/>
      <c r="C1" s="156"/>
      <c r="D1" s="156"/>
      <c r="E1" s="156"/>
      <c r="F1" s="156"/>
      <c r="G1" s="156"/>
      <c r="H1" s="156"/>
      <c r="I1" s="174" t="s">
        <v>553</v>
      </c>
      <c r="J1" s="156"/>
      <c r="K1" s="156"/>
      <c r="L1" s="156"/>
      <c r="M1" s="156"/>
      <c r="N1" s="156"/>
      <c r="O1" s="156"/>
    </row>
    <row r="2" spans="1:15" x14ac:dyDescent="0.25">
      <c r="A2" s="155"/>
      <c r="B2" s="155"/>
      <c r="C2" s="156"/>
      <c r="D2" s="156"/>
      <c r="E2" s="156"/>
      <c r="F2" s="156"/>
      <c r="G2" s="156"/>
      <c r="H2" s="156"/>
      <c r="I2" s="174" t="s">
        <v>570</v>
      </c>
      <c r="J2" s="156"/>
      <c r="K2" s="156"/>
      <c r="L2" s="156"/>
      <c r="M2" s="156"/>
      <c r="N2" s="156"/>
      <c r="O2" s="156"/>
    </row>
    <row r="3" spans="1:15" ht="15.75" thickBot="1" x14ac:dyDescent="0.3">
      <c r="A3" s="156"/>
      <c r="B3" s="156"/>
      <c r="C3" s="156"/>
      <c r="D3" s="156"/>
      <c r="E3" s="156"/>
      <c r="F3" s="156"/>
      <c r="G3" s="156"/>
      <c r="H3" s="156"/>
      <c r="I3" s="157"/>
      <c r="J3" s="156"/>
      <c r="K3" s="156"/>
      <c r="L3" s="156"/>
      <c r="M3" s="156"/>
      <c r="N3" s="156"/>
      <c r="O3" s="156"/>
    </row>
    <row r="4" spans="1:15" ht="24" thickBot="1" x14ac:dyDescent="0.3">
      <c r="A4" s="424" t="s">
        <v>535</v>
      </c>
      <c r="B4" s="425"/>
      <c r="C4" s="425"/>
      <c r="D4" s="425"/>
      <c r="E4" s="425"/>
      <c r="F4" s="425"/>
      <c r="G4" s="425"/>
      <c r="H4" s="425"/>
      <c r="I4" s="426"/>
      <c r="J4" s="156"/>
      <c r="K4" s="156"/>
      <c r="L4" s="156"/>
      <c r="M4" s="156"/>
      <c r="N4" s="156"/>
      <c r="O4" s="156"/>
    </row>
    <row r="5" spans="1:15" ht="15.75" thickBot="1" x14ac:dyDescent="0.3">
      <c r="A5" s="156"/>
      <c r="B5" s="156"/>
      <c r="C5" s="156"/>
      <c r="D5" s="156"/>
      <c r="E5" s="156"/>
      <c r="F5" s="156"/>
      <c r="G5" s="156"/>
      <c r="H5" s="156"/>
      <c r="I5" s="157"/>
      <c r="J5" s="156"/>
      <c r="K5" s="156"/>
      <c r="L5" s="156"/>
      <c r="M5" s="156"/>
      <c r="N5" s="156"/>
      <c r="O5" s="156"/>
    </row>
    <row r="6" spans="1:15" x14ac:dyDescent="0.25">
      <c r="A6" s="427" t="s">
        <v>41</v>
      </c>
      <c r="B6" s="420" t="s">
        <v>0</v>
      </c>
      <c r="C6" s="420" t="s">
        <v>14</v>
      </c>
      <c r="D6" s="420" t="s">
        <v>12</v>
      </c>
      <c r="E6" s="420" t="s">
        <v>23</v>
      </c>
      <c r="F6" s="420" t="s">
        <v>24</v>
      </c>
      <c r="G6" s="420" t="s">
        <v>569</v>
      </c>
      <c r="H6" s="420" t="s">
        <v>228</v>
      </c>
      <c r="I6" s="420" t="s">
        <v>229</v>
      </c>
      <c r="J6" s="420" t="s">
        <v>230</v>
      </c>
      <c r="K6" s="420" t="s">
        <v>231</v>
      </c>
      <c r="L6" s="420" t="s">
        <v>232</v>
      </c>
      <c r="M6" s="420" t="s">
        <v>233</v>
      </c>
      <c r="N6" s="420" t="s">
        <v>234</v>
      </c>
      <c r="O6" s="422" t="s">
        <v>536</v>
      </c>
    </row>
    <row r="7" spans="1:15" ht="15.75" thickBot="1" x14ac:dyDescent="0.3">
      <c r="A7" s="428"/>
      <c r="B7" s="421"/>
      <c r="C7" s="421"/>
      <c r="D7" s="421"/>
      <c r="E7" s="421"/>
      <c r="F7" s="421"/>
      <c r="G7" s="421"/>
      <c r="H7" s="421" t="s">
        <v>2</v>
      </c>
      <c r="I7" s="421" t="s">
        <v>2</v>
      </c>
      <c r="J7" s="421"/>
      <c r="K7" s="421"/>
      <c r="L7" s="421"/>
      <c r="M7" s="421"/>
      <c r="N7" s="421"/>
      <c r="O7" s="423"/>
    </row>
    <row r="8" spans="1:15" ht="45" x14ac:dyDescent="0.25">
      <c r="A8" s="260">
        <v>1</v>
      </c>
      <c r="B8" s="250" t="s">
        <v>152</v>
      </c>
      <c r="C8" s="261"/>
      <c r="D8" s="261" t="s">
        <v>13</v>
      </c>
      <c r="E8" s="262" t="s">
        <v>6</v>
      </c>
      <c r="F8" s="261" t="s">
        <v>537</v>
      </c>
      <c r="G8" s="263">
        <f>356.16+418.59+401.71</f>
        <v>1176.46</v>
      </c>
      <c r="H8" s="264">
        <v>12105777</v>
      </c>
      <c r="I8" s="265" t="s">
        <v>538</v>
      </c>
      <c r="J8" s="148">
        <f>+H8*0.3197</f>
        <v>3870216.9068999998</v>
      </c>
      <c r="K8" s="266">
        <f>+H8*0.2268</f>
        <v>2745590.2236000001</v>
      </c>
      <c r="L8" s="266">
        <f>+H8*0.2268</f>
        <v>2745590.2236000001</v>
      </c>
      <c r="M8" s="266">
        <f>+H8*0.2268</f>
        <v>2745590.2236000001</v>
      </c>
      <c r="N8" s="266"/>
      <c r="O8" s="267"/>
    </row>
    <row r="9" spans="1:15" ht="45" x14ac:dyDescent="0.25">
      <c r="A9" s="158">
        <v>2</v>
      </c>
      <c r="B9" s="212" t="s">
        <v>152</v>
      </c>
      <c r="C9" s="159"/>
      <c r="D9" s="159" t="s">
        <v>13</v>
      </c>
      <c r="E9" s="160"/>
      <c r="F9" s="159" t="s">
        <v>539</v>
      </c>
      <c r="G9" s="154">
        <f>504.15+427.64+436.6+451.33+10.5+321.53</f>
        <v>2151.75</v>
      </c>
      <c r="H9" s="161">
        <f>13086961+9307261</f>
        <v>22394222</v>
      </c>
      <c r="I9" s="162" t="s">
        <v>538</v>
      </c>
      <c r="J9" s="60">
        <v>11297552.402222222</v>
      </c>
      <c r="K9" s="163">
        <v>4539527</v>
      </c>
      <c r="L9" s="163">
        <f>+H9*0.15</f>
        <v>3359133.3</v>
      </c>
      <c r="M9" s="163">
        <f>+H9-(J9+K9+L9)</f>
        <v>3198009.2977777794</v>
      </c>
      <c r="N9" s="163"/>
      <c r="O9" s="164"/>
    </row>
    <row r="10" spans="1:15" ht="45" x14ac:dyDescent="0.25">
      <c r="A10" s="158">
        <v>3</v>
      </c>
      <c r="B10" s="212" t="s">
        <v>540</v>
      </c>
      <c r="C10" s="159"/>
      <c r="D10" s="159" t="s">
        <v>512</v>
      </c>
      <c r="E10" s="160"/>
      <c r="F10" s="159" t="s">
        <v>541</v>
      </c>
      <c r="G10" s="154">
        <v>1620</v>
      </c>
      <c r="H10" s="161">
        <v>17875000</v>
      </c>
      <c r="I10" s="165" t="s">
        <v>538</v>
      </c>
      <c r="J10" s="60">
        <f>+H10*0.4</f>
        <v>7150000</v>
      </c>
      <c r="K10" s="163">
        <f>+H10*0.6</f>
        <v>10725000</v>
      </c>
      <c r="L10" s="163"/>
      <c r="M10" s="163"/>
      <c r="N10" s="163"/>
      <c r="O10" s="164"/>
    </row>
    <row r="11" spans="1:15" ht="30" x14ac:dyDescent="0.25">
      <c r="A11" s="158">
        <v>4</v>
      </c>
      <c r="B11" s="243" t="s">
        <v>542</v>
      </c>
      <c r="C11" s="159"/>
      <c r="D11" s="159" t="s">
        <v>512</v>
      </c>
      <c r="E11" s="160"/>
      <c r="F11" s="159" t="s">
        <v>543</v>
      </c>
      <c r="G11" s="154">
        <v>8671.7900000000009</v>
      </c>
      <c r="H11" s="161">
        <f>+G11*10400</f>
        <v>90186616.000000015</v>
      </c>
      <c r="I11" s="162" t="s">
        <v>544</v>
      </c>
      <c r="J11" s="60"/>
      <c r="K11" s="163">
        <f>+H11*0.1</f>
        <v>9018661.6000000015</v>
      </c>
      <c r="L11" s="163">
        <f>+H11*0.3</f>
        <v>27055984.800000004</v>
      </c>
      <c r="M11" s="163">
        <f>+H11*0.3</f>
        <v>27055984.800000004</v>
      </c>
      <c r="N11" s="163">
        <f>+H11*0.3</f>
        <v>27055984.800000004</v>
      </c>
      <c r="O11" s="164"/>
    </row>
    <row r="12" spans="1:15" ht="45" x14ac:dyDescent="0.25">
      <c r="A12" s="158">
        <v>5</v>
      </c>
      <c r="B12" s="212" t="s">
        <v>152</v>
      </c>
      <c r="C12" s="159"/>
      <c r="D12" s="159" t="s">
        <v>545</v>
      </c>
      <c r="E12" s="160"/>
      <c r="F12" s="159" t="s">
        <v>546</v>
      </c>
      <c r="G12" s="154">
        <v>530</v>
      </c>
      <c r="H12" s="161">
        <v>4000000</v>
      </c>
      <c r="I12" s="162" t="s">
        <v>547</v>
      </c>
      <c r="J12" s="60"/>
      <c r="K12" s="163"/>
      <c r="L12" s="163"/>
      <c r="M12" s="163">
        <v>2000000</v>
      </c>
      <c r="N12" s="163">
        <v>2000000</v>
      </c>
      <c r="O12" s="164"/>
    </row>
    <row r="13" spans="1:15" ht="45" x14ac:dyDescent="0.25">
      <c r="A13" s="158"/>
      <c r="B13" s="211" t="s">
        <v>561</v>
      </c>
      <c r="C13" s="159"/>
      <c r="D13" s="159" t="s">
        <v>545</v>
      </c>
      <c r="E13" s="160"/>
      <c r="F13" s="159" t="s">
        <v>548</v>
      </c>
      <c r="G13" s="154">
        <v>713</v>
      </c>
      <c r="H13" s="161">
        <v>4000000</v>
      </c>
      <c r="I13" s="162" t="s">
        <v>547</v>
      </c>
      <c r="J13" s="60"/>
      <c r="K13" s="163"/>
      <c r="L13" s="163"/>
      <c r="M13" s="163">
        <v>1200000</v>
      </c>
      <c r="N13" s="163">
        <v>2000000</v>
      </c>
      <c r="O13" s="164">
        <v>800000</v>
      </c>
    </row>
    <row r="14" spans="1:15" ht="45.75" thickBot="1" x14ac:dyDescent="0.3">
      <c r="A14" s="268">
        <v>6</v>
      </c>
      <c r="B14" s="248" t="s">
        <v>562</v>
      </c>
      <c r="C14" s="269"/>
      <c r="D14" s="270" t="s">
        <v>545</v>
      </c>
      <c r="E14" s="271"/>
      <c r="F14" s="270" t="s">
        <v>549</v>
      </c>
      <c r="G14" s="65">
        <v>350</v>
      </c>
      <c r="H14" s="272">
        <f>+G14*4400</f>
        <v>1540000</v>
      </c>
      <c r="I14" s="273" t="s">
        <v>547</v>
      </c>
      <c r="J14" s="147"/>
      <c r="K14" s="274"/>
      <c r="L14" s="274"/>
      <c r="M14" s="274"/>
      <c r="N14" s="274">
        <f>+G14*2500</f>
        <v>875000</v>
      </c>
      <c r="O14" s="275">
        <f>+H14-N14</f>
        <v>665000</v>
      </c>
    </row>
    <row r="15" spans="1:15" ht="15.75" thickBot="1" x14ac:dyDescent="0.3">
      <c r="A15" s="417" t="s">
        <v>550</v>
      </c>
      <c r="B15" s="418"/>
      <c r="C15" s="418"/>
      <c r="D15" s="418"/>
      <c r="E15" s="418"/>
      <c r="F15" s="419"/>
      <c r="G15" s="276">
        <f>+SUM(G8:G14)</f>
        <v>15213</v>
      </c>
      <c r="H15" s="277">
        <f>+SUM(H8:H14)</f>
        <v>152101615</v>
      </c>
      <c r="I15" s="278"/>
      <c r="J15" s="279">
        <f t="shared" ref="J15:O15" si="0">SUM(J8:J14)</f>
        <v>22317769.30912222</v>
      </c>
      <c r="K15" s="279">
        <f t="shared" si="0"/>
        <v>27028778.823600002</v>
      </c>
      <c r="L15" s="279">
        <f t="shared" si="0"/>
        <v>33160708.323600005</v>
      </c>
      <c r="M15" s="279">
        <f t="shared" si="0"/>
        <v>36199584.321377784</v>
      </c>
      <c r="N15" s="279">
        <f t="shared" si="0"/>
        <v>31930984.800000004</v>
      </c>
      <c r="O15" s="280">
        <f t="shared" si="0"/>
        <v>1465000</v>
      </c>
    </row>
    <row r="16" spans="1:15" ht="15.75" thickBot="1" x14ac:dyDescent="0.3"/>
    <row r="17" spans="6:7" ht="60.75" thickBot="1" x14ac:dyDescent="0.3">
      <c r="F17" s="446" t="s">
        <v>572</v>
      </c>
      <c r="G17" s="295">
        <f>+(G8+G9+G12+G13)/G15</f>
        <v>0.30048051009005455</v>
      </c>
    </row>
    <row r="18" spans="6:7" x14ac:dyDescent="0.25">
      <c r="F18" s="284" t="s">
        <v>563</v>
      </c>
      <c r="G18" s="285">
        <f>+G8+G9+G10+G12+G14</f>
        <v>5828.21</v>
      </c>
    </row>
    <row r="19" spans="6:7" x14ac:dyDescent="0.25">
      <c r="F19" s="286" t="s">
        <v>564</v>
      </c>
      <c r="G19" s="287">
        <f>+G11+G13</f>
        <v>9384.7900000000009</v>
      </c>
    </row>
    <row r="20" spans="6:7" ht="15.75" thickBot="1" x14ac:dyDescent="0.3">
      <c r="F20" s="288" t="s">
        <v>565</v>
      </c>
      <c r="G20" s="289">
        <f>+G19+G18</f>
        <v>15213</v>
      </c>
    </row>
  </sheetData>
  <mergeCells count="17">
    <mergeCell ref="N6:N7"/>
    <mergeCell ref="O6:O7"/>
    <mergeCell ref="A4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15:F1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A5" sqref="A5:F5"/>
    </sheetView>
  </sheetViews>
  <sheetFormatPr defaultColWidth="11.42578125" defaultRowHeight="15" x14ac:dyDescent="0.25"/>
  <cols>
    <col min="1" max="1" width="6.5703125" customWidth="1"/>
    <col min="2" max="2" width="29.5703125" customWidth="1"/>
    <col min="3" max="3" width="16.28515625" customWidth="1"/>
    <col min="4" max="4" width="22" customWidth="1"/>
    <col min="5" max="5" width="26.5703125" customWidth="1"/>
    <col min="6" max="6" width="56.7109375" customWidth="1"/>
  </cols>
  <sheetData>
    <row r="1" spans="1:14" x14ac:dyDescent="0.25">
      <c r="A1" s="5" t="s">
        <v>21</v>
      </c>
      <c r="D1" s="5"/>
    </row>
    <row r="2" spans="1:14" x14ac:dyDescent="0.25">
      <c r="A2" s="5" t="s">
        <v>552</v>
      </c>
    </row>
    <row r="3" spans="1:14" x14ac:dyDescent="0.25">
      <c r="A3" s="5"/>
    </row>
    <row r="4" spans="1:14" ht="15.75" thickBot="1" x14ac:dyDescent="0.3">
      <c r="A4" s="5"/>
    </row>
    <row r="5" spans="1:14" ht="51.75" customHeight="1" thickBot="1" x14ac:dyDescent="0.3">
      <c r="A5" s="430" t="s">
        <v>517</v>
      </c>
      <c r="B5" s="431"/>
      <c r="C5" s="431"/>
      <c r="D5" s="431"/>
      <c r="E5" s="431"/>
      <c r="F5" s="432"/>
    </row>
    <row r="6" spans="1:14" x14ac:dyDescent="0.25">
      <c r="H6" s="31"/>
      <c r="I6" s="429"/>
      <c r="J6" s="429"/>
      <c r="K6" s="429"/>
      <c r="L6" s="429"/>
      <c r="M6" s="429"/>
      <c r="N6" s="429"/>
    </row>
    <row r="7" spans="1:14" x14ac:dyDescent="0.25">
      <c r="A7" s="386" t="s">
        <v>41</v>
      </c>
      <c r="B7" s="386" t="s">
        <v>14</v>
      </c>
      <c r="C7" s="386" t="s">
        <v>213</v>
      </c>
      <c r="D7" s="386" t="s">
        <v>212</v>
      </c>
      <c r="E7" s="386" t="s">
        <v>23</v>
      </c>
      <c r="F7" s="386" t="s">
        <v>209</v>
      </c>
      <c r="H7" s="31"/>
      <c r="I7" s="32"/>
      <c r="J7" s="32"/>
      <c r="K7" s="32"/>
      <c r="L7" s="32"/>
      <c r="M7" s="32"/>
      <c r="N7" s="32"/>
    </row>
    <row r="8" spans="1:14" x14ac:dyDescent="0.25">
      <c r="A8" s="387"/>
      <c r="B8" s="387"/>
      <c r="C8" s="387"/>
      <c r="D8" s="387"/>
      <c r="E8" s="387"/>
      <c r="F8" s="387"/>
      <c r="H8" s="31"/>
      <c r="I8" s="32"/>
      <c r="J8" s="32"/>
      <c r="K8" s="32"/>
      <c r="L8" s="32"/>
      <c r="M8" s="32"/>
      <c r="N8" s="32"/>
    </row>
    <row r="9" spans="1:14" ht="51" customHeight="1" x14ac:dyDescent="0.25">
      <c r="A9" s="433">
        <v>1</v>
      </c>
      <c r="B9" s="445" t="s">
        <v>199</v>
      </c>
      <c r="C9" s="442">
        <v>170000000</v>
      </c>
      <c r="D9" s="439" t="s">
        <v>211</v>
      </c>
      <c r="E9" s="438" t="s">
        <v>204</v>
      </c>
      <c r="F9" s="53" t="s">
        <v>200</v>
      </c>
      <c r="H9" s="31"/>
      <c r="I9" s="33"/>
      <c r="J9" s="31"/>
      <c r="K9" s="31"/>
      <c r="L9" s="31"/>
      <c r="M9" s="31"/>
      <c r="N9" s="33"/>
    </row>
    <row r="10" spans="1:14" ht="25.5" x14ac:dyDescent="0.25">
      <c r="A10" s="433"/>
      <c r="B10" s="445"/>
      <c r="C10" s="443"/>
      <c r="D10" s="440"/>
      <c r="E10" s="438"/>
      <c r="F10" s="53" t="s">
        <v>201</v>
      </c>
      <c r="H10" s="31"/>
      <c r="I10" s="34"/>
      <c r="J10" s="35"/>
      <c r="K10" s="35"/>
      <c r="L10" s="35"/>
      <c r="M10" s="35"/>
      <c r="N10" s="33"/>
    </row>
    <row r="11" spans="1:14" ht="38.25" x14ac:dyDescent="0.25">
      <c r="A11" s="433"/>
      <c r="B11" s="445"/>
      <c r="C11" s="443"/>
      <c r="D11" s="440"/>
      <c r="E11" s="438"/>
      <c r="F11" s="53" t="s">
        <v>202</v>
      </c>
      <c r="G11" s="31"/>
      <c r="H11" s="31"/>
      <c r="I11" s="34"/>
      <c r="J11" s="31"/>
      <c r="K11" s="31"/>
      <c r="L11" s="31"/>
      <c r="M11" s="31"/>
      <c r="N11" s="33"/>
    </row>
    <row r="12" spans="1:14" x14ac:dyDescent="0.25">
      <c r="A12" s="433"/>
      <c r="B12" s="445"/>
      <c r="C12" s="443"/>
      <c r="D12" s="440"/>
      <c r="E12" s="438"/>
      <c r="F12" s="53" t="s">
        <v>203</v>
      </c>
      <c r="G12" s="31"/>
      <c r="H12" s="31"/>
      <c r="I12" s="34"/>
      <c r="J12" s="34"/>
      <c r="K12" s="31"/>
      <c r="L12" s="31"/>
      <c r="M12" s="31"/>
      <c r="N12" s="33"/>
    </row>
    <row r="13" spans="1:14" ht="25.5" x14ac:dyDescent="0.25">
      <c r="A13" s="433"/>
      <c r="B13" s="445"/>
      <c r="C13" s="443"/>
      <c r="D13" s="440"/>
      <c r="E13" s="438"/>
      <c r="F13" s="53" t="s">
        <v>205</v>
      </c>
      <c r="G13" s="31"/>
      <c r="H13" s="31"/>
      <c r="I13" s="31"/>
      <c r="J13" s="36"/>
      <c r="K13" s="36"/>
      <c r="L13" s="36"/>
      <c r="M13" s="31"/>
      <c r="N13" s="38"/>
    </row>
    <row r="14" spans="1:14" ht="25.5" x14ac:dyDescent="0.25">
      <c r="A14" s="433"/>
      <c r="B14" s="445"/>
      <c r="C14" s="443"/>
      <c r="D14" s="440"/>
      <c r="E14" s="438"/>
      <c r="F14" s="53" t="s">
        <v>206</v>
      </c>
      <c r="G14" s="31"/>
      <c r="H14" s="37"/>
      <c r="I14" s="31"/>
      <c r="J14" s="31"/>
      <c r="K14" s="36"/>
      <c r="L14" s="36"/>
      <c r="M14" s="36"/>
      <c r="N14" s="38"/>
    </row>
    <row r="15" spans="1:14" x14ac:dyDescent="0.25">
      <c r="A15" s="433"/>
      <c r="B15" s="445"/>
      <c r="C15" s="443"/>
      <c r="D15" s="440"/>
      <c r="E15" s="438"/>
      <c r="F15" s="53" t="s">
        <v>207</v>
      </c>
      <c r="G15" s="37"/>
      <c r="H15" s="37"/>
      <c r="I15" s="31"/>
      <c r="J15" s="31"/>
      <c r="K15" s="31"/>
      <c r="L15" s="31"/>
      <c r="M15" s="31"/>
      <c r="N15" s="38"/>
    </row>
    <row r="16" spans="1:14" ht="38.25" x14ac:dyDescent="0.25">
      <c r="A16" s="433"/>
      <c r="B16" s="445"/>
      <c r="C16" s="444"/>
      <c r="D16" s="441"/>
      <c r="E16" s="438"/>
      <c r="F16" s="53" t="s">
        <v>208</v>
      </c>
      <c r="H16" s="31"/>
      <c r="I16" s="33"/>
      <c r="J16" s="36"/>
      <c r="K16" s="36"/>
      <c r="L16" s="36"/>
      <c r="M16" s="31"/>
      <c r="N16" s="38"/>
    </row>
    <row r="17" spans="1:6" ht="25.5" x14ac:dyDescent="0.25">
      <c r="A17" s="437">
        <v>2</v>
      </c>
      <c r="B17" s="433" t="s">
        <v>518</v>
      </c>
      <c r="C17" s="435">
        <v>125000000</v>
      </c>
      <c r="D17" s="434" t="s">
        <v>214</v>
      </c>
      <c r="E17" s="433" t="s">
        <v>215</v>
      </c>
      <c r="F17" s="53" t="s">
        <v>216</v>
      </c>
    </row>
    <row r="18" spans="1:6" x14ac:dyDescent="0.25">
      <c r="A18" s="437"/>
      <c r="B18" s="436"/>
      <c r="C18" s="435"/>
      <c r="D18" s="434"/>
      <c r="E18" s="433"/>
      <c r="F18" s="53" t="s">
        <v>217</v>
      </c>
    </row>
    <row r="19" spans="1:6" ht="25.5" x14ac:dyDescent="0.25">
      <c r="A19" s="437"/>
      <c r="B19" s="436"/>
      <c r="C19" s="435"/>
      <c r="D19" s="434"/>
      <c r="E19" s="433"/>
      <c r="F19" s="53" t="s">
        <v>218</v>
      </c>
    </row>
    <row r="20" spans="1:6" ht="51" x14ac:dyDescent="0.25">
      <c r="A20" s="437"/>
      <c r="B20" s="436"/>
      <c r="C20" s="435"/>
      <c r="D20" s="434"/>
      <c r="E20" s="433"/>
      <c r="F20" s="53" t="s">
        <v>219</v>
      </c>
    </row>
    <row r="21" spans="1:6" ht="25.5" x14ac:dyDescent="0.25">
      <c r="A21" s="437"/>
      <c r="B21" s="436"/>
      <c r="C21" s="435"/>
      <c r="D21" s="434"/>
      <c r="E21" s="433"/>
      <c r="F21" s="53" t="s">
        <v>220</v>
      </c>
    </row>
    <row r="22" spans="1:6" ht="60" customHeight="1" x14ac:dyDescent="0.25">
      <c r="A22" s="433">
        <v>3</v>
      </c>
      <c r="B22" s="436" t="s">
        <v>223</v>
      </c>
      <c r="C22" s="435">
        <v>71800000</v>
      </c>
      <c r="D22" s="434" t="s">
        <v>221</v>
      </c>
      <c r="E22" s="433" t="s">
        <v>222</v>
      </c>
      <c r="F22" s="53" t="s">
        <v>224</v>
      </c>
    </row>
    <row r="23" spans="1:6" ht="51" x14ac:dyDescent="0.25">
      <c r="A23" s="433"/>
      <c r="B23" s="436"/>
      <c r="C23" s="435"/>
      <c r="D23" s="434"/>
      <c r="E23" s="433"/>
      <c r="F23" s="53" t="s">
        <v>225</v>
      </c>
    </row>
    <row r="24" spans="1:6" ht="64.5" customHeight="1" x14ac:dyDescent="0.25">
      <c r="A24" s="433">
        <v>4</v>
      </c>
      <c r="B24" s="433" t="s">
        <v>519</v>
      </c>
      <c r="C24" s="435">
        <v>62500000</v>
      </c>
      <c r="D24" s="434" t="s">
        <v>520</v>
      </c>
      <c r="E24" s="433" t="s">
        <v>521</v>
      </c>
      <c r="F24" s="53" t="s">
        <v>522</v>
      </c>
    </row>
    <row r="25" spans="1:6" ht="67.5" customHeight="1" x14ac:dyDescent="0.25">
      <c r="A25" s="433"/>
      <c r="B25" s="436"/>
      <c r="C25" s="435"/>
      <c r="D25" s="434"/>
      <c r="E25" s="433"/>
      <c r="F25" s="53" t="s">
        <v>219</v>
      </c>
    </row>
    <row r="26" spans="1:6" ht="126" customHeight="1" x14ac:dyDescent="0.25">
      <c r="A26" s="433">
        <v>5</v>
      </c>
      <c r="B26" s="433" t="s">
        <v>523</v>
      </c>
      <c r="C26" s="435">
        <v>142000000</v>
      </c>
      <c r="D26" s="434" t="s">
        <v>571</v>
      </c>
      <c r="E26" s="433" t="s">
        <v>524</v>
      </c>
      <c r="F26" s="53" t="s">
        <v>526</v>
      </c>
    </row>
    <row r="27" spans="1:6" ht="85.5" customHeight="1" x14ac:dyDescent="0.25">
      <c r="A27" s="433"/>
      <c r="B27" s="436"/>
      <c r="C27" s="435"/>
      <c r="D27" s="434"/>
      <c r="E27" s="433"/>
      <c r="F27" s="53" t="s">
        <v>525</v>
      </c>
    </row>
    <row r="28" spans="1:6" x14ac:dyDescent="0.25">
      <c r="C28" s="113">
        <f>SUM(C9:C27)</f>
        <v>571300000</v>
      </c>
    </row>
  </sheetData>
  <mergeCells count="33"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A5:F5"/>
    <mergeCell ref="E22:E23"/>
    <mergeCell ref="D22:D23"/>
    <mergeCell ref="C22:C23"/>
    <mergeCell ref="B22:B23"/>
    <mergeCell ref="A22:A23"/>
    <mergeCell ref="E17:E21"/>
    <mergeCell ref="D17:D21"/>
    <mergeCell ref="C17:C21"/>
    <mergeCell ref="B17:B21"/>
    <mergeCell ref="A17:A21"/>
    <mergeCell ref="E9:E16"/>
    <mergeCell ref="D9:D16"/>
    <mergeCell ref="C9:C16"/>
    <mergeCell ref="B9:B16"/>
    <mergeCell ref="A9:A16"/>
    <mergeCell ref="I6:N6"/>
    <mergeCell ref="A7:A8"/>
    <mergeCell ref="D7:D8"/>
    <mergeCell ref="B7:B8"/>
    <mergeCell ref="E7:E8"/>
    <mergeCell ref="F7:F8"/>
    <mergeCell ref="C7:C8"/>
  </mergeCells>
  <printOptions horizontalCentered="1"/>
  <pageMargins left="0.17" right="0.15748031496062992" top="0.6" bottom="0.21" header="0.31496062992125984" footer="0.17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F4D7375CC7DAB429593A8A14391F0CE" ma:contentTypeVersion="0" ma:contentTypeDescription="A content type to manage public (operations) IDB documents" ma:contentTypeScope="" ma:versionID="1c49387a51ac94f3a92fca84b11daff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00f02d04dbffc8223ab87bb0dcc9c1e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f76994-b145-4aa5-bae9-5834c8e755c3}" ma:internalName="TaxCatchAll" ma:showField="CatchAllData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f76994-b145-4aa5-bae9-5834c8e755c3}" ma:internalName="TaxCatchAllLabel" ma:readOnly="true" ma:showField="CatchAllDataLabel" ma:web="fab184d8-fc63-46dc-b020-1b7b0838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39822350</IDBDocs_x0020_Number>
    <Document_x0020_Author xmlns="9c571b2f-e523-4ab2-ba2e-09e151a03ef4">Acevedo-Daunas, Rafael M.</Document_x0020_Author>
    <Publication_x0020_Type xmlns="9c571b2f-e523-4ab2-ba2e-09e151a03ef4" xsi:nil="true"/>
    <Operation_x0020_Type xmlns="9c571b2f-e523-4ab2-ba2e-09e151a03ef4" xsi:nil="true"/>
    <TaxCatchAll xmlns="9c571b2f-e523-4ab2-ba2e-09e151a03ef4">
      <Value>8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PR-L1092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Proposal&lt;/USER_STAGE&gt;&lt;PD_OBJ_TYPE&gt;0&lt;/PD_OBJ_TYPE&gt;&lt;MAKERECORD&gt;N&lt;/MAKERECORD&gt;&lt;PD_FILEPT_NO&gt;PO-PR-L1092-Plan&lt;/PD_FILEPT_NO&gt;&lt;/Data&gt;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TR-TRP</Webtopic>
    <Identifier xmlns="9c571b2f-e523-4ab2-ba2e-09e151a03ef4">EEO#7.Megaproyecto de Caminos Vecinales - Mejoramiento de caminos, Mantenimiento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14F96401-BF9C-45CF-A195-070DAB166A19}"/>
</file>

<file path=customXml/itemProps2.xml><?xml version="1.0" encoding="utf-8"?>
<ds:datastoreItem xmlns:ds="http://schemas.openxmlformats.org/officeDocument/2006/customXml" ds:itemID="{3EE0D00D-09D5-4444-B242-F827F75EC788}"/>
</file>

<file path=customXml/itemProps3.xml><?xml version="1.0" encoding="utf-8"?>
<ds:datastoreItem xmlns:ds="http://schemas.openxmlformats.org/officeDocument/2006/customXml" ds:itemID="{8EC17288-DF1E-40BB-B722-CEFB670F4CAC}"/>
</file>

<file path=customXml/itemProps4.xml><?xml version="1.0" encoding="utf-8"?>
<ds:datastoreItem xmlns:ds="http://schemas.openxmlformats.org/officeDocument/2006/customXml" ds:itemID="{7BB513CC-8202-4035-B217-D638AEFEF2E5}"/>
</file>

<file path=customXml/itemProps5.xml><?xml version="1.0" encoding="utf-8"?>
<ds:datastoreItem xmlns:ds="http://schemas.openxmlformats.org/officeDocument/2006/customXml" ds:itemID="{9422C97C-D7BA-432A-B954-5AAFD9729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Megaproyecto Caminos - Resumen</vt:lpstr>
      <vt:lpstr>Detalle Caminos</vt:lpstr>
      <vt:lpstr>Megaproyeto PUENTES - resumen</vt:lpstr>
      <vt:lpstr>Detalle Puentes</vt:lpstr>
      <vt:lpstr>Megaproyecto Mantenimiento</vt:lpstr>
      <vt:lpstr>Resumen Pytos. Ejecución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EEO_7_Megaproyecto de Caminos Vecinales - Mejoramiento de caminos, Mantenimiento</dc:title>
  <dc:creator>lpaiva</dc:creator>
  <cp:lastModifiedBy>santiagoFr</cp:lastModifiedBy>
  <cp:lastPrinted>2015-04-01T12:17:03Z</cp:lastPrinted>
  <dcterms:created xsi:type="dcterms:W3CDTF">2014-07-22T12:08:25Z</dcterms:created>
  <dcterms:modified xsi:type="dcterms:W3CDTF">2015-10-01T21:44:26Z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0x01010046CF21643EE8D14686A648AA6DAD0892002F4D7375CC7DAB429593A8A14391F0CE</vt:lpwstr>
  </property>
  <property fmtid="{D5CDD505-2E9C-101B-9397-08002B2CF9AE}" pid="5" name="TaxKeywordTaxHTField">
    <vt:lpwstr/>
  </property>
  <property fmtid="{D5CDD505-2E9C-101B-9397-08002B2CF9AE}" pid="6" name="Series Operations IDB">
    <vt:lpwstr>8;#Project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8;#Project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9;#Project Preparation, Planning and Design|29ca0c72-1fc4-435f-a09c-28585cb5eac9</vt:lpwstr>
  </property>
</Properties>
</file>