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3DB5762-AF9E-4623-8289-C0D21854C949}" xr6:coauthVersionLast="33" xr6:coauthVersionMax="33" xr10:uidLastSave="{00000000-0000-0000-0000-000000000000}"/>
  <bookViews>
    <workbookView xWindow="0" yWindow="0" windowWidth="19200" windowHeight="7545" xr2:uid="{00000000-000D-0000-FFFF-FFFF00000000}"/>
  </bookViews>
  <sheets>
    <sheet name="PEP" sheetId="5" r:id="rId1"/>
    <sheet name="AUXILIAR" sheetId="7" state="hidden" r:id="rId2"/>
    <sheet name="Plan1" sheetId="6" state="hidden" r:id="rId3"/>
  </sheets>
  <definedNames>
    <definedName name="_xlnm.Print_Area" localSheetId="0">PEP!$I$2:$U$63</definedName>
  </definedNames>
  <calcPr calcId="179017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" i="5" l="1"/>
  <c r="O28" i="5"/>
  <c r="Q28" i="5"/>
  <c r="S28" i="5"/>
  <c r="U28" i="5"/>
  <c r="O60" i="5"/>
  <c r="J68" i="5"/>
  <c r="T72" i="5"/>
  <c r="R72" i="5"/>
  <c r="P72" i="5"/>
  <c r="N72" i="5"/>
  <c r="L79" i="5"/>
  <c r="J74" i="5"/>
  <c r="J72" i="5"/>
  <c r="J31" i="5"/>
  <c r="J27" i="5"/>
  <c r="J66" i="5" s="1"/>
  <c r="J69" i="5" s="1"/>
  <c r="J22" i="5"/>
  <c r="J19" i="5"/>
  <c r="J16" i="5"/>
  <c r="V10" i="5"/>
  <c r="U10" i="5"/>
  <c r="T10" i="5"/>
  <c r="S10" i="5"/>
  <c r="R10" i="5"/>
  <c r="Q10" i="5"/>
  <c r="P10" i="5"/>
  <c r="O10" i="5"/>
  <c r="N10" i="5"/>
  <c r="M10" i="5"/>
  <c r="J10" i="5"/>
  <c r="J15" i="5" l="1"/>
  <c r="M67" i="5"/>
  <c r="Y65" i="5"/>
  <c r="Z65" i="5" s="1"/>
  <c r="Y64" i="5"/>
  <c r="Z64" i="5" s="1"/>
  <c r="Y53" i="5"/>
  <c r="Z53" i="5" s="1"/>
  <c r="Y44" i="5"/>
  <c r="Z44" i="5" s="1"/>
  <c r="Y41" i="5"/>
  <c r="Z41" i="5" s="1"/>
  <c r="Y33" i="5"/>
  <c r="Z33" i="5" s="1"/>
  <c r="J55" i="5" l="1"/>
  <c r="J39" i="5" l="1"/>
  <c r="U43" i="5"/>
  <c r="S43" i="5"/>
  <c r="Q43" i="5"/>
  <c r="O43" i="5"/>
  <c r="M43" i="5"/>
  <c r="Q57" i="5"/>
  <c r="O57" i="5"/>
  <c r="M57" i="5"/>
  <c r="Q55" i="5"/>
  <c r="Q48" i="5"/>
  <c r="M46" i="5"/>
  <c r="U36" i="5"/>
  <c r="S36" i="5"/>
  <c r="Q34" i="5"/>
  <c r="M34" i="5"/>
  <c r="U32" i="5"/>
  <c r="S32" i="5"/>
  <c r="Q32" i="5"/>
  <c r="O32" i="5"/>
  <c r="M32" i="5"/>
  <c r="U22" i="5"/>
  <c r="S22" i="5"/>
  <c r="Q22" i="5"/>
  <c r="X43" i="5" l="1"/>
  <c r="Y32" i="5"/>
  <c r="Y43" i="5"/>
  <c r="J51" i="5"/>
  <c r="J48" i="5"/>
  <c r="J43" i="5"/>
  <c r="Z43" i="5" l="1"/>
  <c r="L51" i="5" l="1"/>
  <c r="U54" i="5"/>
  <c r="U51" i="5" s="1"/>
  <c r="Q51" i="5"/>
  <c r="S51" i="5" l="1"/>
  <c r="Y52" i="5"/>
  <c r="Z52" i="5" s="1"/>
  <c r="O51" i="5"/>
  <c r="Y54" i="5"/>
  <c r="Z54" i="5" s="1"/>
  <c r="Q50" i="5"/>
  <c r="M51" i="5"/>
  <c r="Q11" i="5"/>
  <c r="S11" i="5"/>
  <c r="U11" i="5"/>
  <c r="O11" i="5"/>
  <c r="J57" i="5"/>
  <c r="J50" i="5" s="1"/>
  <c r="J59" i="5" s="1"/>
  <c r="S47" i="5"/>
  <c r="Q47" i="5"/>
  <c r="Q67" i="5" s="1"/>
  <c r="O47" i="5"/>
  <c r="U42" i="5"/>
  <c r="U68" i="5" s="1"/>
  <c r="O42" i="5"/>
  <c r="O38" i="5"/>
  <c r="Q38" i="5"/>
  <c r="O35" i="5"/>
  <c r="U58" i="5"/>
  <c r="U57" i="5" s="1"/>
  <c r="S58" i="5"/>
  <c r="J67" i="5"/>
  <c r="U56" i="5"/>
  <c r="U55" i="5" s="1"/>
  <c r="S56" i="5"/>
  <c r="S55" i="5" s="1"/>
  <c r="U47" i="5"/>
  <c r="S42" i="5"/>
  <c r="S68" i="5" s="1"/>
  <c r="Q42" i="5"/>
  <c r="M42" i="5"/>
  <c r="M40" i="5"/>
  <c r="O37" i="5"/>
  <c r="M37" i="5"/>
  <c r="X37" i="5" s="1"/>
  <c r="M13" i="5"/>
  <c r="Y13" i="5" s="1"/>
  <c r="Z13" i="5" s="1"/>
  <c r="L36" i="5"/>
  <c r="J36" i="5"/>
  <c r="X33" i="5"/>
  <c r="L34" i="5"/>
  <c r="J34" i="5"/>
  <c r="L32" i="5"/>
  <c r="X32" i="5" s="1"/>
  <c r="J32" i="5"/>
  <c r="Z32" i="5" s="1"/>
  <c r="U29" i="5"/>
  <c r="S29" i="5"/>
  <c r="Q29" i="5"/>
  <c r="O29" i="5"/>
  <c r="U30" i="5"/>
  <c r="S30" i="5"/>
  <c r="Q30" i="5"/>
  <c r="Q60" i="5" s="1"/>
  <c r="O30" i="5"/>
  <c r="M30" i="5"/>
  <c r="Y30" i="5" s="1"/>
  <c r="Z30" i="5" s="1"/>
  <c r="M29" i="5"/>
  <c r="O26" i="5"/>
  <c r="O25" i="5"/>
  <c r="O24" i="5"/>
  <c r="O23" i="5"/>
  <c r="L22" i="5"/>
  <c r="M22" i="5"/>
  <c r="O20" i="5"/>
  <c r="M20" i="5"/>
  <c r="O21" i="5"/>
  <c r="O18" i="5"/>
  <c r="M18" i="5"/>
  <c r="O17" i="5"/>
  <c r="M17" i="5"/>
  <c r="L27" i="5"/>
  <c r="L39" i="5"/>
  <c r="L46" i="5"/>
  <c r="J46" i="5"/>
  <c r="J45" i="5" s="1"/>
  <c r="L48" i="5"/>
  <c r="L55" i="5"/>
  <c r="L57" i="5"/>
  <c r="K57" i="5"/>
  <c r="L19" i="5"/>
  <c r="L16" i="5"/>
  <c r="F15" i="5"/>
  <c r="G15" i="5" s="1"/>
  <c r="Q17" i="5"/>
  <c r="Q16" i="5" s="1"/>
  <c r="S17" i="5"/>
  <c r="S16" i="5" s="1"/>
  <c r="U17" i="5"/>
  <c r="U16" i="5" s="1"/>
  <c r="F19" i="5"/>
  <c r="G19" i="5" s="1"/>
  <c r="Q21" i="5"/>
  <c r="Q19" i="5" s="1"/>
  <c r="S21" i="5"/>
  <c r="S19" i="5" s="1"/>
  <c r="U21" i="5"/>
  <c r="U19" i="5" s="1"/>
  <c r="X23" i="5"/>
  <c r="X53" i="5"/>
  <c r="O56" i="5"/>
  <c r="O55" i="5" s="1"/>
  <c r="M56" i="5"/>
  <c r="G53" i="5"/>
  <c r="U49" i="5"/>
  <c r="U48" i="5" s="1"/>
  <c r="S49" i="5"/>
  <c r="M48" i="5"/>
  <c r="G47" i="5"/>
  <c r="E68" i="7"/>
  <c r="E67" i="7"/>
  <c r="E66" i="7"/>
  <c r="E63" i="7"/>
  <c r="E59" i="7"/>
  <c r="E55" i="7"/>
  <c r="E54" i="7"/>
  <c r="E53" i="7"/>
  <c r="E48" i="7"/>
  <c r="E44" i="7"/>
  <c r="E39" i="7"/>
  <c r="E34" i="7"/>
  <c r="E33" i="7"/>
  <c r="E32" i="7"/>
  <c r="E29" i="7"/>
  <c r="E26" i="7"/>
  <c r="E23" i="7"/>
  <c r="E20" i="7"/>
  <c r="E16" i="7"/>
  <c r="E13" i="7"/>
  <c r="E10" i="7"/>
  <c r="M67" i="6"/>
  <c r="M68" i="6" s="1"/>
  <c r="H61" i="6"/>
  <c r="I61" i="6"/>
  <c r="J61" i="6"/>
  <c r="K61" i="6"/>
  <c r="G61" i="6"/>
  <c r="M60" i="6"/>
  <c r="M59" i="6"/>
  <c r="U35" i="5"/>
  <c r="S35" i="5"/>
  <c r="S34" i="5" s="1"/>
  <c r="G33" i="5"/>
  <c r="M61" i="6" l="1"/>
  <c r="O50" i="5"/>
  <c r="Y51" i="5"/>
  <c r="Z51" i="5" s="1"/>
  <c r="Y42" i="5"/>
  <c r="Z42" i="5" s="1"/>
  <c r="X25" i="5"/>
  <c r="Y25" i="5"/>
  <c r="Z25" i="5" s="1"/>
  <c r="S48" i="5"/>
  <c r="Y49" i="5"/>
  <c r="Z49" i="5" s="1"/>
  <c r="Y17" i="5"/>
  <c r="Z17" i="5" s="1"/>
  <c r="Y21" i="5"/>
  <c r="Z21" i="5" s="1"/>
  <c r="X26" i="5"/>
  <c r="Y26" i="5"/>
  <c r="Z26" i="5" s="1"/>
  <c r="M36" i="5"/>
  <c r="M68" i="5"/>
  <c r="Y37" i="5"/>
  <c r="Z37" i="5" s="1"/>
  <c r="O34" i="5"/>
  <c r="Y35" i="5"/>
  <c r="Z35" i="5" s="1"/>
  <c r="M55" i="5"/>
  <c r="Y56" i="5"/>
  <c r="Z56" i="5" s="1"/>
  <c r="X13" i="5"/>
  <c r="M19" i="5"/>
  <c r="Y20" i="5"/>
  <c r="Z20" i="5" s="1"/>
  <c r="Y23" i="5"/>
  <c r="Z23" i="5" s="1"/>
  <c r="O68" i="5"/>
  <c r="Y28" i="5"/>
  <c r="Z28" i="5" s="1"/>
  <c r="Q68" i="5"/>
  <c r="O46" i="5"/>
  <c r="O67" i="5"/>
  <c r="Y47" i="5"/>
  <c r="Z47" i="5" s="1"/>
  <c r="Y11" i="5"/>
  <c r="Z11" i="5" s="1"/>
  <c r="S46" i="5"/>
  <c r="S67" i="5"/>
  <c r="X18" i="5"/>
  <c r="Y18" i="5"/>
  <c r="Z18" i="5" s="1"/>
  <c r="X24" i="5"/>
  <c r="Y24" i="5"/>
  <c r="Z24" i="5" s="1"/>
  <c r="Y29" i="5"/>
  <c r="Z29" i="5" s="1"/>
  <c r="X40" i="5"/>
  <c r="Y40" i="5"/>
  <c r="Z40" i="5" s="1"/>
  <c r="U46" i="5"/>
  <c r="U45" i="5" s="1"/>
  <c r="U67" i="5"/>
  <c r="S57" i="5"/>
  <c r="Y57" i="5" s="1"/>
  <c r="Z57" i="5" s="1"/>
  <c r="Y58" i="5"/>
  <c r="Z58" i="5" s="1"/>
  <c r="Y38" i="5"/>
  <c r="Z38" i="5" s="1"/>
  <c r="X38" i="5"/>
  <c r="X11" i="5"/>
  <c r="L15" i="5"/>
  <c r="U50" i="5"/>
  <c r="X57" i="5"/>
  <c r="L45" i="5"/>
  <c r="O36" i="5"/>
  <c r="O19" i="5"/>
  <c r="X42" i="5"/>
  <c r="X58" i="5"/>
  <c r="M16" i="5"/>
  <c r="X29" i="5"/>
  <c r="Q36" i="5"/>
  <c r="X17" i="5"/>
  <c r="L50" i="5"/>
  <c r="X47" i="5"/>
  <c r="O16" i="5"/>
  <c r="O27" i="5"/>
  <c r="O66" i="5" s="1"/>
  <c r="X20" i="5"/>
  <c r="U60" i="5"/>
  <c r="U61" i="5" s="1"/>
  <c r="S60" i="5"/>
  <c r="U27" i="5"/>
  <c r="Q39" i="5"/>
  <c r="U39" i="5"/>
  <c r="M39" i="5"/>
  <c r="S39" i="5"/>
  <c r="S31" i="5" s="1"/>
  <c r="O39" i="5"/>
  <c r="M45" i="5"/>
  <c r="S50" i="5"/>
  <c r="Q46" i="5"/>
  <c r="Q27" i="5"/>
  <c r="Q15" i="5" s="1"/>
  <c r="Q59" i="5" s="1"/>
  <c r="Q72" i="5" s="1"/>
  <c r="O48" i="5"/>
  <c r="U34" i="5"/>
  <c r="M27" i="5"/>
  <c r="M66" i="5" s="1"/>
  <c r="X28" i="5"/>
  <c r="S27" i="5"/>
  <c r="O22" i="5"/>
  <c r="Y22" i="5" s="1"/>
  <c r="Z22" i="5" s="1"/>
  <c r="X21" i="5"/>
  <c r="X49" i="5"/>
  <c r="X56" i="5"/>
  <c r="X52" i="5"/>
  <c r="X55" i="5"/>
  <c r="X35" i="5"/>
  <c r="X30" i="5"/>
  <c r="U15" i="5" l="1"/>
  <c r="U59" i="5" s="1"/>
  <c r="U72" i="5" s="1"/>
  <c r="U66" i="5"/>
  <c r="U69" i="5" s="1"/>
  <c r="S15" i="5"/>
  <c r="S59" i="5" s="1"/>
  <c r="S72" i="5" s="1"/>
  <c r="S66" i="5"/>
  <c r="S69" i="5" s="1"/>
  <c r="U31" i="5"/>
  <c r="X16" i="5"/>
  <c r="O45" i="5"/>
  <c r="Y27" i="5"/>
  <c r="Z27" i="5" s="1"/>
  <c r="S45" i="5"/>
  <c r="Y19" i="5"/>
  <c r="Z19" i="5" s="1"/>
  <c r="X36" i="5"/>
  <c r="Q31" i="5"/>
  <c r="Y67" i="5"/>
  <c r="Z67" i="5" s="1"/>
  <c r="M50" i="5"/>
  <c r="Y50" i="5" s="1"/>
  <c r="Z50" i="5" s="1"/>
  <c r="Y55" i="5"/>
  <c r="Z55" i="5" s="1"/>
  <c r="Y68" i="5"/>
  <c r="Z68" i="5" s="1"/>
  <c r="Y10" i="5"/>
  <c r="Z10" i="5" s="1"/>
  <c r="X19" i="5"/>
  <c r="Y16" i="5"/>
  <c r="Z16" i="5" s="1"/>
  <c r="Y46" i="5"/>
  <c r="Z46" i="5" s="1"/>
  <c r="Y36" i="5"/>
  <c r="Z36" i="5" s="1"/>
  <c r="M31" i="5"/>
  <c r="O69" i="5"/>
  <c r="Y34" i="5"/>
  <c r="Z34" i="5" s="1"/>
  <c r="O31" i="5"/>
  <c r="Y48" i="5"/>
  <c r="Z48" i="5" s="1"/>
  <c r="Y39" i="5"/>
  <c r="Z39" i="5" s="1"/>
  <c r="L59" i="5"/>
  <c r="M15" i="5"/>
  <c r="M59" i="5" s="1"/>
  <c r="M72" i="5" s="1"/>
  <c r="X48" i="5"/>
  <c r="X39" i="5"/>
  <c r="O15" i="5"/>
  <c r="O59" i="5" s="1"/>
  <c r="O72" i="5" s="1"/>
  <c r="S61" i="5"/>
  <c r="X10" i="5"/>
  <c r="J62" i="5"/>
  <c r="Q45" i="5"/>
  <c r="X46" i="5"/>
  <c r="X22" i="5"/>
  <c r="X27" i="5"/>
  <c r="X51" i="5"/>
  <c r="X34" i="5"/>
  <c r="W72" i="5" l="1"/>
  <c r="X45" i="5"/>
  <c r="Y15" i="5"/>
  <c r="Z15" i="5" s="1"/>
  <c r="S62" i="5"/>
  <c r="Y45" i="5"/>
  <c r="Z45" i="5" s="1"/>
  <c r="Y31" i="5"/>
  <c r="Z31" i="5" s="1"/>
  <c r="X15" i="5"/>
  <c r="O62" i="5"/>
  <c r="M62" i="5"/>
  <c r="X31" i="5"/>
  <c r="X50" i="5"/>
  <c r="S63" i="5" l="1"/>
  <c r="S76" i="5"/>
  <c r="O63" i="5"/>
  <c r="O76" i="5"/>
  <c r="M63" i="5"/>
  <c r="M76" i="5"/>
  <c r="M69" i="5"/>
  <c r="Y59" i="5"/>
  <c r="Z59" i="5" s="1"/>
  <c r="X59" i="5"/>
  <c r="X60" i="5" l="1"/>
  <c r="U62" i="5"/>
  <c r="Y60" i="5"/>
  <c r="Z60" i="5" s="1"/>
  <c r="Q66" i="5"/>
  <c r="Q69" i="5" s="1"/>
  <c r="Y69" i="5" s="1"/>
  <c r="Z69" i="5" s="1"/>
  <c r="Q61" i="5"/>
  <c r="Y61" i="5" s="1"/>
  <c r="Z61" i="5" s="1"/>
  <c r="U63" i="5" l="1"/>
  <c r="U76" i="5"/>
  <c r="Q62" i="5"/>
  <c r="V66" i="5"/>
  <c r="Y66" i="5"/>
  <c r="Z66" i="5" s="1"/>
  <c r="Y62" i="5" l="1"/>
  <c r="Z62" i="5" s="1"/>
  <c r="Q76" i="5"/>
  <c r="W76" i="5" s="1"/>
  <c r="Q63" i="5"/>
  <c r="Y63" i="5" s="1"/>
  <c r="Z63" i="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D:\Documents and Settings\PKMACCT\My Documents\Task Usage.cub" keepAlive="1" name="Task Usage" type="5" refreshedVersion="4">
    <dbPr connection="Provider=MSOLAP.2;Persist Security Info=True;Data Source=D:\Documents and Settings\PKMACCT\My Documents\Task Usage.cub;Client Cache Size=25;Auto Synch Period=10000" command="ProjectReport" commandType="1"/>
    <olapPr local="1" localConnection="Provider=MSOLAP.5;Persist Security Info=True;Data Source=C:\Users\LUIZCL~1\AppData\Local\Temp\Visual Reports Temporary Data\{9b2d82ea-b719-e511-8299-e36f0539fc11}\TaskTP.cub;MDX Compatibility=1;Safety Options=2;MDX Missing Member Mode=Error"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<sst xmlns="http://schemas.openxmlformats.org/spreadsheetml/2006/main" count="373" uniqueCount="222">
  <si>
    <t>Year</t>
  </si>
  <si>
    <t>Cost</t>
  </si>
  <si>
    <t>2016</t>
  </si>
  <si>
    <t>2017</t>
  </si>
  <si>
    <t>2018</t>
  </si>
  <si>
    <t>2019</t>
  </si>
  <si>
    <t>2020</t>
  </si>
  <si>
    <t>Total Geral</t>
  </si>
  <si>
    <t xml:space="preserve">Task </t>
  </si>
  <si>
    <t>PEP PROEXMAES II</t>
  </si>
  <si>
    <t>Task  1</t>
  </si>
  <si>
    <t>Programa de Expansão e Melhoria da Assistência Especializada a Saúde - PROEXMAES II</t>
  </si>
  <si>
    <t>PEP PROEXMAES II Total</t>
  </si>
  <si>
    <t>Task  2</t>
  </si>
  <si>
    <t>COMPONENTE 1 -Fortalecimento da Gestão e Melhoria da Qualidade dos Serviços</t>
  </si>
  <si>
    <t>COMPONENTE 2 - Ampliação do Acesso e Consolidação da RAS</t>
  </si>
  <si>
    <t>COMPONENTE 3 - Administração e Avaliação</t>
  </si>
  <si>
    <t>Programa de Expansão e Melhoria da Assistência Especializada a Saúde - PROEXMAES II Total</t>
  </si>
  <si>
    <t>Task  3</t>
  </si>
  <si>
    <t>P1. Estudos de Consultoria Desenvolvidos</t>
  </si>
  <si>
    <t>P2. Sistemas de regulação de acesso e auditorias reforçados</t>
  </si>
  <si>
    <t>P3. Protocolos clínicos e linhas de cuidados desenvolvidas</t>
  </si>
  <si>
    <t>P4. Linhas de Cuidado Implementadas</t>
  </si>
  <si>
    <t>P5. Novas instalações (sede) da SESA construídas e equipadas</t>
  </si>
  <si>
    <t>P6. Centro de logística Implantado</t>
  </si>
  <si>
    <t>P7. Hospitais da Rede Pública com sistema de informática de gestão implementados</t>
  </si>
  <si>
    <t>P8. Estabelecimentos de saúde (media complexidade e hospitais) certificados em qualidade</t>
  </si>
  <si>
    <t>COMPONENTE 1 -Fortalecimento da Gestão e Melhoria da Qualidade dos Serviços Total</t>
  </si>
  <si>
    <t>P9. Hospital Regional Litoral-Jaguaribe construido y equipado</t>
  </si>
  <si>
    <t>P10. Policlínica de Fortaleza construida e equipada</t>
  </si>
  <si>
    <t>P11. Serviços de atenção ao parto reformados e equipados</t>
  </si>
  <si>
    <t>P12. Hospital Metropolitano construido e equipado</t>
  </si>
  <si>
    <t>COMPONENTE 2 - Ampliação do Acesso e Consolidação da RAS Total</t>
  </si>
  <si>
    <t>P13. Unidade Gestora do Programa Constituída - UGP</t>
  </si>
  <si>
    <t>P14.Avaliaçoes intermediária e final desenvolvidas</t>
  </si>
  <si>
    <t>P15. Avaliação de impacto realizada</t>
  </si>
  <si>
    <t>COMPONENTE 3 - Administração e Avaliação Total</t>
  </si>
  <si>
    <t>Task  4</t>
  </si>
  <si>
    <t>Contratar consultoria para Planejamento de Processos da SESA</t>
  </si>
  <si>
    <t>P1. Estudos de Consultoria Desenvolvidos Total</t>
  </si>
  <si>
    <t>Reforçar os sistemas de regulação do acesso e auditorias</t>
  </si>
  <si>
    <t>P2. Sistemas de regulação de acesso e auditorias reforçados Total</t>
  </si>
  <si>
    <t>Desenvolver protocolos clínicos e linhas de cuidados prioritários.</t>
  </si>
  <si>
    <t>P3. Protocolos clínicos e linhas de cuidados desenvolvidas Total</t>
  </si>
  <si>
    <t>Contratar consultoria para Implementação das linhas de cuidado nas redes de atenção nos níveis primário, secundário e terciário.</t>
  </si>
  <si>
    <t>Outras capacitações e formação da Equipe SESA</t>
  </si>
  <si>
    <t>P4. Linhas de Cuidado Implementadas Total</t>
  </si>
  <si>
    <t>Construir novas instalações para a SESA e Adequar Coordenadorias Regionais de Saúde - CRES.</t>
  </si>
  <si>
    <t>P5. Novas instalações (sede) da SESA construídas e equipadas Total</t>
  </si>
  <si>
    <t>Implantar Centro de logística (Infrestrutura)</t>
  </si>
  <si>
    <t>P6. Centro de logística Implantado Total</t>
  </si>
  <si>
    <t>Informatizar e melhorar os processos de gestão hospitalar para toda a rede própria do Estado</t>
  </si>
  <si>
    <t>P7. Hospitais da Rede Pública com sistema de informática de gestão implementados Total</t>
  </si>
  <si>
    <t>Certificar 29 unidades de saúde de média complexidade *(policlínicas e CEOS)</t>
  </si>
  <si>
    <t>P8. Estabelecimentos de saúde (media complexidade e hospitais) certificados em qualidade Total</t>
  </si>
  <si>
    <t>Elaborar projeto para o Hospital Regional do Jaguaribe</t>
  </si>
  <si>
    <t>Construir Hospital Regional de Jaguaribe</t>
  </si>
  <si>
    <t>Adquirir Equipamentos para o Hospital Regional de Jaguaribe</t>
  </si>
  <si>
    <t>Elaborar projeto para Policlinica de Fortaleza</t>
  </si>
  <si>
    <t>Construir Policlínica Fortaleza</t>
  </si>
  <si>
    <t>Adquirir Equipamentos para Policlínica Fortaleza</t>
  </si>
  <si>
    <t>P10. Policlínica de Fortaleza construida e equipada Total</t>
  </si>
  <si>
    <t>Adequação física para serviços de parto no Estado</t>
  </si>
  <si>
    <t>Aquisição de equipamentos para serviços de parto no Estado</t>
  </si>
  <si>
    <t>P11. Serviços de atenção ao parto reformados e equipados Total</t>
  </si>
  <si>
    <t>Realizar Etapa 02 da PPP - Serviços de limpeza do terreno e terraplanagem do Hospital Metropolitano</t>
  </si>
  <si>
    <t>Construir Hospital Metropolitano (HRM) PPP</t>
  </si>
  <si>
    <t>Adquirir Equipamentos para o Hospital Metropolitano (Contraparte do Estado para PPP não contemplados na Sociedade para fins especificos HRM) - SPE</t>
  </si>
  <si>
    <t>P12. Hospital Metropolitano construido e equipado Total</t>
  </si>
  <si>
    <t>Constituir equipe de gestão do programa</t>
  </si>
  <si>
    <t>Apoiar eventos e Fortalecimento da UGP</t>
  </si>
  <si>
    <t>P13. Unidade Gestora do Programa Constituída - UGP Total</t>
  </si>
  <si>
    <t>Avaliação Intermediária</t>
  </si>
  <si>
    <t>Avaliação Final</t>
  </si>
  <si>
    <t>P14.Avaliaçoes intermediária e final desenvolvidas Total</t>
  </si>
  <si>
    <t>Realizar Avaliação de Impacto e Monitoramento</t>
  </si>
  <si>
    <t>P15. Avaliação de impacto realizada Total</t>
  </si>
  <si>
    <t>CUSTO ESTIMADO
US$</t>
  </si>
  <si>
    <t>FONTE</t>
  </si>
  <si>
    <t>Ano</t>
  </si>
  <si>
    <t>Task  5</t>
  </si>
  <si>
    <t>BID</t>
  </si>
  <si>
    <t>Local</t>
  </si>
  <si>
    <t>EAP_270515_luiz</t>
  </si>
  <si>
    <t>PROSUS</t>
  </si>
  <si>
    <t>Contratação de consultoria para apoio do planejamento e acompanhamento do sistema de informação - SQC (1)</t>
  </si>
  <si>
    <t>Aquisição de equipamentos para Sistema de informação da SESAB (datacenter principal e de contigência)</t>
  </si>
  <si>
    <t>Contratação de serviços para Infraestrutura de tecnologia de informação e comunicação para as unidades de saúde em rede (centros de referências de média complexidade e CIAS - 31 estabelecimentos no total)</t>
  </si>
  <si>
    <t>COMPONENTE 2 - FORTALECIMENTO DAS REDES INTEGRADAS DE SAÚDE NA RMS</t>
  </si>
  <si>
    <t>LIBERAÇÃO FÍSICA E LEGAL DE TERRENOS</t>
  </si>
  <si>
    <t>Ano 01 - Aceleração</t>
  </si>
  <si>
    <t>PROJETOS EXECUTIVOS</t>
  </si>
  <si>
    <t>Contratar Projetos Executivos e complementares - SBQC (5)</t>
  </si>
  <si>
    <t>SALVADOR / UBS URUGUAI (DISTRITO ITAPAGIPE) PORTE IV</t>
  </si>
  <si>
    <t>SALVADOR / UBS PIRAJÁ II (DISTRITO SÃO CAETANO/VALERIA) PORTE III</t>
  </si>
  <si>
    <t>SALVADOR / UBS VIVER MELHOR (DISTRITO BROTAS) PORTE III</t>
  </si>
  <si>
    <t>SALVADOR / UBS ALTO DE ONDINA(DISTRITO BARRA/RIO VERMELHO) PORTE III</t>
  </si>
  <si>
    <t>CAMAÇARI / UBS – PORTE II - VERDE HORIZONTE</t>
  </si>
  <si>
    <t>CAMAÇARI / UBS – PORTE II - ESTIVAS DE BURIS DE ABRANTES</t>
  </si>
  <si>
    <t>Aquisição de Equipamentos para as UBS</t>
  </si>
  <si>
    <t>UNIDADES BÁSICAS DE SAÚDE CONSTRUÍDAS E EQUIPADAS Total</t>
  </si>
  <si>
    <t>SÃO SEBASTIÃO DO PASSÉ / CAPS I ( )</t>
  </si>
  <si>
    <t>MADRE DE DEUS / CAPS I ( )</t>
  </si>
  <si>
    <t>CAMAÇARI / CAPS III ( RUA DAS BEGÔNIAS - GLEBA C)</t>
  </si>
  <si>
    <t>SIMÕES FILHO / CAPS AD ( )</t>
  </si>
  <si>
    <t>P9. Hospital Regional Litoral-Jaguaribe construido e equipado</t>
  </si>
  <si>
    <t>P9. Hospital Regional Litoral-Jaguaribe construido e equipado Total</t>
  </si>
  <si>
    <t>P5. Capacitação SESA Total</t>
  </si>
  <si>
    <t>P6. Novas instalações (sede) da SESA construídas e equipadas</t>
  </si>
  <si>
    <t>P6. Novas instalações (sede) da SESA construídas e equipadas Total</t>
  </si>
  <si>
    <t>P7. Centro de logística Implantado</t>
  </si>
  <si>
    <t>P7. Centro de logística Implantado Total</t>
  </si>
  <si>
    <t>P8. Hospitais da Rede Pública com sistema de informática de gestão implementados</t>
  </si>
  <si>
    <t>P8. Hospitais da Rede Pública com sistema de informática de gestão implementados Total</t>
  </si>
  <si>
    <t>P9. Estabelecimentos de saúde (media complexidade e hospitais) certificados em qualidade</t>
  </si>
  <si>
    <t>P9. Estabelecimentos de saúde (media complexidade e hospitais) certificados em qualidade Total</t>
  </si>
  <si>
    <t>P10. Hospital Regional Litoral-Jaguaribe construido e equipado</t>
  </si>
  <si>
    <t>P10. Hospital Regional Litoral-Jaguaribe construido e equipado Total</t>
  </si>
  <si>
    <t>P11. Policlínica de Fortaleza construida e equipada</t>
  </si>
  <si>
    <t>P11. Policlínica de Fortaleza construida e equipada Total</t>
  </si>
  <si>
    <t>P12. Serviços de atenção ao parto reformados e equipados</t>
  </si>
  <si>
    <t>P12. Serviços de atenção ao parto reformados e equipados Total</t>
  </si>
  <si>
    <t>P13. Hospital Metropolitano construido e equipado</t>
  </si>
  <si>
    <t>P13. Hospital Metropolitano construido e equipado Total</t>
  </si>
  <si>
    <t>P14. Unidade Gestora do Programa Constituída - UGP</t>
  </si>
  <si>
    <t>P14. Unidade Gestora do Programa Constituída - UGP Total</t>
  </si>
  <si>
    <t>P15.Avaliaçoes intermediária e final desenvolvidas</t>
  </si>
  <si>
    <t>P15.Avaliaçoes intermediária e final desenvolvidas Total</t>
  </si>
  <si>
    <t>P16. Avaliação de impacto realizada</t>
  </si>
  <si>
    <t>P16. Avaliação de impacto realizada Total</t>
  </si>
  <si>
    <t>2015</t>
  </si>
  <si>
    <t>2021</t>
  </si>
  <si>
    <t>EAP PROEXMAES II</t>
  </si>
  <si>
    <t>P5. Capacitação SESA</t>
  </si>
  <si>
    <t>Elaborar Projeto Executivo</t>
  </si>
  <si>
    <t>Adequar terreno</t>
  </si>
  <si>
    <t>EAP PROEXMAES II Total</t>
  </si>
  <si>
    <t>PLANO DE EXECUÇÃO DO PROGRAMA (PEP) - COMPONENTE 3</t>
  </si>
  <si>
    <t xml:space="preserve">SUBCOMPONENTE 1 -ESTUDOS ESTRATÉGICOS PARA APOIO A DEFESA AGROPECUÁRIA FEDERAL </t>
  </si>
  <si>
    <t>COMPONENTE / AÇÃO PROPOSTA</t>
  </si>
  <si>
    <t>P3. Mapeamento de competências</t>
  </si>
  <si>
    <t>SUBCOMPONENTE 2 - DESENVOLVIMENTO DE COMPETÊNCIAS</t>
  </si>
  <si>
    <t>Mapeamento de competências não diagnosticadas elaborado</t>
  </si>
  <si>
    <t>Revisão das competências em Defesa Agropecuária existentes no MAPA realizado</t>
  </si>
  <si>
    <t>Manual de Trilha de Aprendizagem elaborado</t>
  </si>
  <si>
    <t>P4. Manual de Trilha de Aprendizagem da Secretaria de Defesa Agropecuária</t>
  </si>
  <si>
    <t>Aquisição do software de suporte ao Modelo de trilha de Aprendizagem da Secretaria de Defesa Agropecuária realizada</t>
  </si>
  <si>
    <t>P6. Programa de Desenvolvimento de Competências da Secretaria de Defesa Agropecuária</t>
  </si>
  <si>
    <t>Metodologia dos Programas elaborada</t>
  </si>
  <si>
    <t xml:space="preserve">SUBCOMPONENTE 3 - SISTEMA DE INTELIGÊNCIA ESTRATÉGICA </t>
  </si>
  <si>
    <t>Manual Operacional de Inteligência elaborado</t>
  </si>
  <si>
    <t>P9.Sistema de identificação, captura, tratamento e análise de dados e Informações Estratégicas da SDA, sendo apresentados através de Dashboards</t>
  </si>
  <si>
    <t>P10. Avaliação e aperfeiçoamento dos Sistemas de Informação Existentes</t>
  </si>
  <si>
    <t>Cursos de curta duração realizados</t>
  </si>
  <si>
    <t>Bolsas de pós-graduação concedidas</t>
  </si>
  <si>
    <t>Programa Excellentia - parcerias realizadas</t>
  </si>
  <si>
    <t xml:space="preserve">Aquisição de licenças de uso ilimitado com entrega e instalação </t>
  </si>
  <si>
    <t xml:space="preserve">Serviço de treinamento de usuário </t>
  </si>
  <si>
    <t>Aquisição de licenças de uso ilimitado com entrega e instalação realizadas</t>
  </si>
  <si>
    <t>Serviço de treinamento de usuários realizado</t>
  </si>
  <si>
    <t>Customização do software (manutenção evolutiva, adaptativas, customização, etc.), sob demanda, realizado</t>
  </si>
  <si>
    <t xml:space="preserve">SUBCOMPONENTE 4 - APOIO À PESQUISA E DESENVOLVIMENTO (P&amp;D) EM DEFESA AGROPECUÁRIA </t>
  </si>
  <si>
    <t>SUBCOMPONENTE 5 - PARQUE TECNOLÓGICO EM DEFESA AGROPECUÁRIA</t>
  </si>
  <si>
    <t>Parque tecnológico juridicamente constituido</t>
  </si>
  <si>
    <t>Doutrina de Inteligência elaborado</t>
  </si>
  <si>
    <t>P7. Doutrina de Inteligência</t>
  </si>
  <si>
    <t xml:space="preserve"> Aperfeiçoamento dos Sistemas de Informação realizado</t>
  </si>
  <si>
    <t>Auditoria dos Sistemas de Informação elaborada</t>
  </si>
  <si>
    <t>IICA</t>
  </si>
  <si>
    <t>MAPA</t>
  </si>
  <si>
    <t>CNPq</t>
  </si>
  <si>
    <t>TOTAL GERAL DO COMPONENTE 3 + GASTOS ADMISTRAÇÃO</t>
  </si>
  <si>
    <t>Recursos Administrados pelo IICA</t>
  </si>
  <si>
    <t>Recursos Administrados pelo CNPq</t>
  </si>
  <si>
    <t xml:space="preserve">Recursos Mapa </t>
  </si>
  <si>
    <t>Distribuição anual dos gastos (%)</t>
  </si>
  <si>
    <t>Contratação de Consultor individual</t>
  </si>
  <si>
    <t>Contratar uma consultoria para realizar a Revisão e o Mapeamento das competências</t>
  </si>
  <si>
    <t>Compra de Software, instalação, customização e treinamento de usuários</t>
  </si>
  <si>
    <t xml:space="preserve">Gastos eventuais </t>
  </si>
  <si>
    <t>Gastos com adequação de contratos, etc.</t>
  </si>
  <si>
    <t xml:space="preserve">Assinatura de Convenio com o IICA para apoiar na gestão do Programa </t>
  </si>
  <si>
    <t xml:space="preserve">Assinatura de Convenio com o CNPq para apoiar na gestão do Programa </t>
  </si>
  <si>
    <t>Pagamento de bolsas de estudos em áreas carentes em temas de Defesa Agropecuária na SDA e/ou Brasil</t>
  </si>
  <si>
    <t>Infraestrutura de TI de apoio à implantação do Sistema de Inteligência Estratégica da Defesa Agropecuária</t>
  </si>
  <si>
    <t>Estudos de viabilidade técnico-econômica (EVTE)</t>
  </si>
  <si>
    <t>Marcos legais e documetos jurídicos de constituição</t>
  </si>
  <si>
    <t>P12. Projetos de pesquisa estratégicas para o aprimoramento da Defesa Agropecuária realizadas por universidades e instituições de pesquisa</t>
  </si>
  <si>
    <t xml:space="preserve">P14. Marcos legais e financeiros </t>
  </si>
  <si>
    <t>P16. Parque Tecnológico juridicamente constituído</t>
  </si>
  <si>
    <t>P8. (Modelo de Inteligência da Defesa Agropecuária e Processos Associados Mapeados e Implantados e Manual Operacional de Inteligência Estratégica da Secretaria de Defesa Agropecuária elaborado</t>
  </si>
  <si>
    <t>Plano Diretor do Parque Tecnológico elaborado, incluindo documentos complementares</t>
  </si>
  <si>
    <t>P11. Estabelecimento de um modelo de decisão baseado em Risco.</t>
  </si>
  <si>
    <t>Desenvolvimento do modelo de decisão baseado em risco</t>
  </si>
  <si>
    <t>P13. Programa de Intercambio de estagiarios</t>
  </si>
  <si>
    <t>Parcerias em andamento</t>
  </si>
  <si>
    <t>P15. Parcerias de desenvolvimento tecnologico</t>
  </si>
  <si>
    <r>
      <t xml:space="preserve">Total </t>
    </r>
    <r>
      <rPr>
        <b/>
        <sz val="10"/>
        <rFont val="Times New Roman"/>
        <family val="1"/>
      </rPr>
      <t>SEM</t>
    </r>
    <r>
      <rPr>
        <sz val="10"/>
        <rFont val="Times New Roman"/>
        <family val="1"/>
      </rPr>
      <t xml:space="preserve"> Custos de Administração</t>
    </r>
  </si>
  <si>
    <t>TOTAL</t>
  </si>
  <si>
    <t>BR-L1496 - Programa de Defesa Agropecuária - PRODEFESA</t>
  </si>
  <si>
    <t>Realizar diversos cursos de curta duração em temas prioritários para a Defesa Agropecuária através da ENAGRO</t>
  </si>
  <si>
    <r>
      <t xml:space="preserve">Contratação de ao menos </t>
    </r>
    <r>
      <rPr>
        <sz val="10"/>
        <color rgb="FFFF0000"/>
        <rFont val="Times New Roman"/>
        <family val="1"/>
      </rPr>
      <t xml:space="preserve">10 </t>
    </r>
    <r>
      <rPr>
        <sz val="10"/>
        <rFont val="Times New Roman"/>
        <family val="1"/>
      </rPr>
      <t>consultorias para elaboprar 10 estudos ou propostas de modernização da Defesa Agropecuária (</t>
    </r>
    <r>
      <rPr>
        <sz val="10"/>
        <color rgb="FFFF0000"/>
        <rFont val="Times New Roman"/>
        <family val="1"/>
      </rPr>
      <t>Estudos por definir)</t>
    </r>
  </si>
  <si>
    <t>Pagamento de estipendio para intercâmbio de profissionais da SDA com outros países ou organizações internacionais na área de Defesa Agropécuária (DA)</t>
  </si>
  <si>
    <t>Aquisição de licenças de software, instalação  e treinamento de usuários</t>
  </si>
  <si>
    <t>Contratação de consultoria para realizar auditoria nos sistemas de informática existentes na Sdecretaria de Defesa Agropecuária</t>
  </si>
  <si>
    <t>Contratação de consultoria para realizar aperfeiçoamento nos sistemas de informática existentes e/ou desenvolvimento de novos sistemas</t>
  </si>
  <si>
    <t>Projetos de pesquisa estratégicas em P&amp;D</t>
  </si>
  <si>
    <t>Programa de intercämbio de estagi;arios estabelecidos atrav[es do CNPq</t>
  </si>
  <si>
    <t>Contratação de consultoria para elaboração do Plano Diretor do Parque Tecnológico incluindo planejamento físico, marcos legais, institucionais e financeiros, entre outros.</t>
  </si>
  <si>
    <t xml:space="preserve">SUB-TOTAL COMPONENTE 3 </t>
  </si>
  <si>
    <t>Contratação Direta IICA</t>
  </si>
  <si>
    <r>
      <t>Contratação de (</t>
    </r>
    <r>
      <rPr>
        <b/>
        <sz val="11"/>
        <color rgb="FFFF0000"/>
        <rFont val="Times New Roman"/>
        <family val="1"/>
      </rPr>
      <t>diversas</t>
    </r>
    <r>
      <rPr>
        <sz val="11"/>
        <rFont val="Times New Roman"/>
        <family val="1"/>
      </rPr>
      <t>) P&amp;D estratégicas para o aprimoramento da defesa agropecuária. Será realizado pelo CNPq</t>
    </r>
  </si>
  <si>
    <t>IICA CONTRATADO para apoiar A ucp no Gerenciamento do PRODEFESA</t>
  </si>
  <si>
    <r>
      <t>P</t>
    </r>
    <r>
      <rPr>
        <b/>
        <sz val="11"/>
        <color rgb="FF0070C0"/>
        <rFont val="Times New Roman"/>
        <family val="1"/>
      </rPr>
      <t>5. Software de suporte ao Modelo de Trilha de Aprendizagem da Secretaria de Defesa Agropecuária</t>
    </r>
  </si>
  <si>
    <t>3.6 GASTOS ADMINISTRATIVOS</t>
  </si>
  <si>
    <t>Versão 04_06_2018</t>
  </si>
  <si>
    <t xml:space="preserve">P1. Estudos e Propostas de modernização da Defesa Agropecuária realizadas </t>
  </si>
  <si>
    <t xml:space="preserve">    Realizar Estudos e Projetos de modernização da Defesa Agropecuária</t>
  </si>
  <si>
    <t xml:space="preserve">P2. Projeto de lei do novo modelo jurídico da Defesa Agropecuária regulamentado </t>
  </si>
  <si>
    <t xml:space="preserve">     Realizar a regulamentação do novo modelo jurídico da Defesa Agropecuária</t>
  </si>
  <si>
    <t>Contratar uma consultoria para desenvolver a metodologia dos programas de aprendizagem e o manual de Trilha de aprendizagem</t>
  </si>
  <si>
    <t>Contratação de consultoria para apoiar a SDA na elaboração da Doutrina de Inteligência em Defesa Agropecuária  e na elaboração do seu correspondente Manual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</si>
</sst>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#,##0.00\ ;&quot; (&quot;#,##0.00\);&quot; -&quot;#\ ;@\ "/>
    <numFmt numFmtId="167" formatCode="0.0%"/>
    <numFmt numFmtId="168" formatCode="_(* #,##0.0_);_(* \(#,##0.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4"/>
      <name val="Arial"/>
      <family val="2"/>
    </font>
    <font>
      <b/>
      <u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b/>
      <sz val="10"/>
      <color rgb="FF0070C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3" tint="0.3999755851924192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/>
  </cellStyleXfs>
  <cellXfs count="198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165" fontId="0" fillId="0" borderId="7" xfId="1" applyNumberFormat="1" applyFont="1" applyBorder="1"/>
    <xf numFmtId="165" fontId="0" fillId="0" borderId="2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5" fontId="0" fillId="0" borderId="6" xfId="1" applyNumberFormat="1" applyFont="1" applyBorder="1"/>
    <xf numFmtId="165" fontId="0" fillId="0" borderId="10" xfId="1" applyNumberFormat="1" applyFont="1" applyBorder="1"/>
    <xf numFmtId="165" fontId="0" fillId="0" borderId="0" xfId="1" applyNumberFormat="1" applyFont="1"/>
    <xf numFmtId="165" fontId="0" fillId="0" borderId="11" xfId="1" applyNumberFormat="1" applyFont="1" applyBorder="1"/>
    <xf numFmtId="165" fontId="0" fillId="0" borderId="4" xfId="1" applyNumberFormat="1" applyFont="1" applyBorder="1"/>
    <xf numFmtId="165" fontId="0" fillId="0" borderId="9" xfId="1" applyNumberFormat="1" applyFont="1" applyBorder="1"/>
    <xf numFmtId="165" fontId="0" fillId="0" borderId="5" xfId="1" applyNumberFormat="1" applyFont="1" applyBorder="1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165" fontId="0" fillId="0" borderId="0" xfId="1" applyNumberFormat="1" applyFont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5" xfId="0" applyBorder="1" applyAlignment="1">
      <alignment horizontal="left" vertical="top" wrapText="1" indent="2"/>
    </xf>
    <xf numFmtId="0" fontId="1" fillId="0" borderId="1" xfId="0" applyFont="1" applyBorder="1"/>
    <xf numFmtId="0" fontId="0" fillId="0" borderId="2" xfId="0" applyBorder="1"/>
    <xf numFmtId="165" fontId="0" fillId="0" borderId="1" xfId="0" applyNumberFormat="1" applyBorder="1"/>
    <xf numFmtId="165" fontId="0" fillId="0" borderId="8" xfId="0" applyNumberForma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0" xfId="0" applyNumberFormat="1"/>
    <xf numFmtId="165" fontId="0" fillId="0" borderId="11" xfId="0" applyNumberFormat="1" applyBorder="1"/>
    <xf numFmtId="165" fontId="0" fillId="0" borderId="4" xfId="0" applyNumberFormat="1" applyBorder="1"/>
    <xf numFmtId="165" fontId="0" fillId="0" borderId="9" xfId="0" applyNumberFormat="1" applyBorder="1"/>
    <xf numFmtId="165" fontId="0" fillId="0" borderId="5" xfId="0" applyNumberFormat="1" applyBorder="1"/>
    <xf numFmtId="0" fontId="0" fillId="0" borderId="0" xfId="0" applyBorder="1" applyAlignment="1">
      <alignment horizontal="left" vertical="top" wrapText="1" indent="2"/>
    </xf>
    <xf numFmtId="0" fontId="1" fillId="0" borderId="0" xfId="0" applyFont="1"/>
    <xf numFmtId="0" fontId="4" fillId="0" borderId="0" xfId="0" applyFont="1" applyBorder="1" applyAlignment="1">
      <alignment vertical="center" wrapText="1"/>
    </xf>
    <xf numFmtId="165" fontId="1" fillId="0" borderId="0" xfId="1" applyNumberFormat="1" applyFont="1"/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left" vertical="top" wrapText="1" indent="1"/>
    </xf>
    <xf numFmtId="165" fontId="0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165" fontId="5" fillId="2" borderId="18" xfId="1" applyNumberFormat="1" applyFont="1" applyFill="1" applyBorder="1" applyAlignment="1">
      <alignment vertical="top" wrapText="1"/>
    </xf>
    <xf numFmtId="0" fontId="6" fillId="8" borderId="0" xfId="0" applyFont="1" applyFill="1" applyBorder="1" applyAlignment="1">
      <alignment horizontal="left" vertical="top" wrapText="1" indent="1"/>
    </xf>
    <xf numFmtId="0" fontId="6" fillId="8" borderId="0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left" vertical="top" wrapText="1" indent="1"/>
    </xf>
    <xf numFmtId="0" fontId="6" fillId="9" borderId="0" xfId="0" applyFont="1" applyFill="1" applyBorder="1" applyAlignment="1">
      <alignment horizontal="left" vertical="top" wrapText="1" indent="1"/>
    </xf>
    <xf numFmtId="0" fontId="6" fillId="10" borderId="0" xfId="0" applyFont="1" applyFill="1" applyBorder="1" applyAlignment="1">
      <alignment horizontal="left" vertical="top" wrapText="1" indent="1"/>
    </xf>
    <xf numFmtId="0" fontId="2" fillId="10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/>
    <xf numFmtId="0" fontId="0" fillId="0" borderId="8" xfId="0" applyBorder="1"/>
    <xf numFmtId="0" fontId="0" fillId="0" borderId="8" xfId="0" applyBorder="1" applyAlignment="1">
      <alignment vertical="top" wrapText="1"/>
    </xf>
    <xf numFmtId="0" fontId="9" fillId="0" borderId="0" xfId="0" applyFont="1"/>
    <xf numFmtId="0" fontId="10" fillId="2" borderId="15" xfId="3" applyFont="1" applyFill="1" applyBorder="1" applyAlignment="1" applyProtection="1">
      <alignment horizontal="center" vertical="center" wrapText="1"/>
    </xf>
    <xf numFmtId="0" fontId="10" fillId="2" borderId="21" xfId="3" applyFont="1" applyFill="1" applyBorder="1" applyAlignment="1" applyProtection="1">
      <alignment horizontal="center" vertical="center" wrapText="1"/>
    </xf>
    <xf numFmtId="0" fontId="10" fillId="2" borderId="16" xfId="3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vertical="top" wrapText="1"/>
    </xf>
    <xf numFmtId="165" fontId="9" fillId="0" borderId="15" xfId="0" applyNumberFormat="1" applyFont="1" applyBorder="1"/>
    <xf numFmtId="165" fontId="9" fillId="0" borderId="21" xfId="0" applyNumberFormat="1" applyFont="1" applyBorder="1"/>
    <xf numFmtId="165" fontId="9" fillId="0" borderId="0" xfId="0" applyNumberFormat="1" applyFont="1" applyBorder="1"/>
    <xf numFmtId="0" fontId="7" fillId="5" borderId="15" xfId="0" applyFont="1" applyFill="1" applyBorder="1" applyAlignment="1">
      <alignment horizontal="left" vertical="top" wrapText="1" indent="1"/>
    </xf>
    <xf numFmtId="3" fontId="7" fillId="5" borderId="15" xfId="0" applyNumberFormat="1" applyFont="1" applyFill="1" applyBorder="1" applyAlignment="1">
      <alignment horizontal="right" vertical="center"/>
    </xf>
    <xf numFmtId="9" fontId="7" fillId="5" borderId="15" xfId="2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right" vertical="center"/>
    </xf>
    <xf numFmtId="9" fontId="12" fillId="3" borderId="15" xfId="2" applyFont="1" applyFill="1" applyBorder="1" applyAlignment="1">
      <alignment horizontal="center" vertical="center"/>
    </xf>
    <xf numFmtId="3" fontId="12" fillId="3" borderId="21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3" fontId="7" fillId="5" borderId="15" xfId="3" applyNumberFormat="1" applyFont="1" applyFill="1" applyBorder="1" applyAlignment="1" applyProtection="1">
      <alignment horizontal="right" vertical="center" wrapText="1"/>
    </xf>
    <xf numFmtId="9" fontId="7" fillId="5" borderId="15" xfId="2" applyFont="1" applyFill="1" applyBorder="1" applyAlignment="1" applyProtection="1">
      <alignment horizontal="center" vertical="center" wrapText="1"/>
    </xf>
    <xf numFmtId="3" fontId="7" fillId="5" borderId="21" xfId="3" applyNumberFormat="1" applyFont="1" applyFill="1" applyBorder="1" applyAlignment="1" applyProtection="1">
      <alignment horizontal="right" vertical="center" wrapText="1"/>
    </xf>
    <xf numFmtId="3" fontId="11" fillId="3" borderId="15" xfId="0" applyNumberFormat="1" applyFont="1" applyFill="1" applyBorder="1" applyAlignment="1">
      <alignment horizontal="right" vertical="center"/>
    </xf>
    <xf numFmtId="9" fontId="11" fillId="3" borderId="15" xfId="2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 indent="2"/>
    </xf>
    <xf numFmtId="3" fontId="9" fillId="0" borderId="15" xfId="0" applyNumberFormat="1" applyFont="1" applyBorder="1" applyAlignment="1">
      <alignment horizontal="right" vertical="center"/>
    </xf>
    <xf numFmtId="9" fontId="9" fillId="0" borderId="15" xfId="2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9" fontId="9" fillId="4" borderId="15" xfId="2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right" vertical="center"/>
    </xf>
    <xf numFmtId="3" fontId="9" fillId="0" borderId="17" xfId="4" applyNumberFormat="1" applyFont="1" applyFill="1" applyBorder="1" applyAlignment="1" applyProtection="1">
      <alignment horizontal="right" vertical="center"/>
      <protection locked="0"/>
    </xf>
    <xf numFmtId="0" fontId="7" fillId="5" borderId="15" xfId="3" applyFont="1" applyFill="1" applyBorder="1" applyAlignment="1" applyProtection="1">
      <alignment horizontal="left" vertical="center" wrapText="1"/>
    </xf>
    <xf numFmtId="9" fontId="11" fillId="3" borderId="15" xfId="2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 vertical="center" wrapText="1"/>
    </xf>
    <xf numFmtId="9" fontId="9" fillId="0" borderId="15" xfId="2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9" fillId="4" borderId="15" xfId="0" applyFont="1" applyFill="1" applyBorder="1" applyAlignment="1">
      <alignment horizontal="left" vertical="center" wrapText="1" indent="2"/>
    </xf>
    <xf numFmtId="0" fontId="9" fillId="4" borderId="15" xfId="0" applyFont="1" applyFill="1" applyBorder="1" applyAlignment="1">
      <alignment horizontal="left" vertical="top" wrapText="1" indent="2"/>
    </xf>
    <xf numFmtId="3" fontId="9" fillId="0" borderId="15" xfId="0" applyNumberFormat="1" applyFont="1" applyFill="1" applyBorder="1" applyAlignment="1">
      <alignment horizontal="right" vertical="center"/>
    </xf>
    <xf numFmtId="0" fontId="9" fillId="4" borderId="15" xfId="0" applyFont="1" applyFill="1" applyBorder="1" applyAlignment="1">
      <alignment horizontal="left" vertical="center" wrapText="1" indent="1"/>
    </xf>
    <xf numFmtId="3" fontId="9" fillId="4" borderId="15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Border="1" applyAlignment="1">
      <alignment horizontal="right" vertical="center" wrapText="1"/>
    </xf>
    <xf numFmtId="165" fontId="9" fillId="4" borderId="0" xfId="1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9" fontId="9" fillId="4" borderId="0" xfId="2" applyFont="1" applyFill="1" applyBorder="1" applyAlignment="1">
      <alignment horizontal="center" vertical="center"/>
    </xf>
    <xf numFmtId="167" fontId="9" fillId="4" borderId="0" xfId="2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165" fontId="9" fillId="0" borderId="0" xfId="1" applyNumberFormat="1" applyFont="1" applyAlignment="1">
      <alignment vertical="top" wrapText="1"/>
    </xf>
    <xf numFmtId="165" fontId="9" fillId="0" borderId="0" xfId="1" applyNumberFormat="1" applyFont="1"/>
    <xf numFmtId="0" fontId="9" fillId="0" borderId="0" xfId="0" applyFont="1" applyAlignment="1">
      <alignment vertical="center" wrapText="1"/>
    </xf>
    <xf numFmtId="165" fontId="9" fillId="0" borderId="15" xfId="1" applyNumberFormat="1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65" fontId="12" fillId="4" borderId="15" xfId="1" applyNumberFormat="1" applyFont="1" applyFill="1" applyBorder="1" applyAlignment="1">
      <alignment vertical="center" wrapText="1"/>
    </xf>
    <xf numFmtId="165" fontId="12" fillId="4" borderId="21" xfId="1" applyNumberFormat="1" applyFont="1" applyFill="1" applyBorder="1" applyAlignment="1">
      <alignment vertical="center" wrapText="1"/>
    </xf>
    <xf numFmtId="165" fontId="12" fillId="4" borderId="0" xfId="1" applyNumberFormat="1" applyFont="1" applyFill="1" applyBorder="1" applyAlignment="1">
      <alignment vertical="center" wrapText="1"/>
    </xf>
    <xf numFmtId="165" fontId="9" fillId="3" borderId="15" xfId="1" applyNumberFormat="1" applyFont="1" applyFill="1" applyBorder="1" applyAlignment="1">
      <alignment vertical="center" wrapText="1"/>
    </xf>
    <xf numFmtId="165" fontId="12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165" fontId="9" fillId="3" borderId="21" xfId="0" applyNumberFormat="1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4" borderId="2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3" fontId="17" fillId="0" borderId="15" xfId="0" applyNumberFormat="1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14" fillId="11" borderId="15" xfId="1" applyNumberFormat="1" applyFont="1" applyFill="1" applyBorder="1" applyAlignment="1">
      <alignment horizontal="right" vertical="center" wrapText="1"/>
    </xf>
    <xf numFmtId="9" fontId="14" fillId="11" borderId="15" xfId="2" applyFont="1" applyFill="1" applyBorder="1" applyAlignment="1">
      <alignment horizontal="center" vertical="center" wrapText="1"/>
    </xf>
    <xf numFmtId="3" fontId="14" fillId="11" borderId="21" xfId="1" applyNumberFormat="1" applyFont="1" applyFill="1" applyBorder="1" applyAlignment="1">
      <alignment horizontal="right" vertical="center" wrapText="1"/>
    </xf>
    <xf numFmtId="165" fontId="14" fillId="11" borderId="15" xfId="1" applyNumberFormat="1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 indent="1"/>
    </xf>
    <xf numFmtId="0" fontId="19" fillId="3" borderId="15" xfId="0" applyFont="1" applyFill="1" applyBorder="1" applyAlignment="1">
      <alignment horizontal="left" vertical="center" wrapText="1" indent="1"/>
    </xf>
    <xf numFmtId="0" fontId="18" fillId="3" borderId="15" xfId="0" applyFont="1" applyFill="1" applyBorder="1" applyAlignment="1">
      <alignment horizontal="left" vertical="center" wrapText="1"/>
    </xf>
    <xf numFmtId="3" fontId="18" fillId="3" borderId="15" xfId="0" applyNumberFormat="1" applyFont="1" applyFill="1" applyBorder="1" applyAlignment="1">
      <alignment horizontal="right" vertical="center"/>
    </xf>
    <xf numFmtId="3" fontId="18" fillId="3" borderId="21" xfId="0" applyNumberFormat="1" applyFont="1" applyFill="1" applyBorder="1" applyAlignment="1">
      <alignment horizontal="right" vertical="center"/>
    </xf>
    <xf numFmtId="9" fontId="18" fillId="3" borderId="15" xfId="2" applyFont="1" applyFill="1" applyBorder="1" applyAlignment="1">
      <alignment horizontal="center" vertical="center"/>
    </xf>
    <xf numFmtId="165" fontId="14" fillId="7" borderId="15" xfId="1" applyNumberFormat="1" applyFont="1" applyFill="1" applyBorder="1" applyAlignment="1">
      <alignment horizontal="left" vertical="center" wrapText="1"/>
    </xf>
    <xf numFmtId="3" fontId="14" fillId="7" borderId="15" xfId="1" applyNumberFormat="1" applyFont="1" applyFill="1" applyBorder="1" applyAlignment="1">
      <alignment horizontal="right" vertical="center" wrapText="1"/>
    </xf>
    <xf numFmtId="9" fontId="14" fillId="7" borderId="15" xfId="2" applyFont="1" applyFill="1" applyBorder="1" applyAlignment="1">
      <alignment horizontal="center" vertical="center" wrapText="1"/>
    </xf>
    <xf numFmtId="3" fontId="14" fillId="7" borderId="21" xfId="1" applyNumberFormat="1" applyFont="1" applyFill="1" applyBorder="1" applyAlignment="1">
      <alignment horizontal="right" vertical="center" wrapText="1"/>
    </xf>
    <xf numFmtId="165" fontId="17" fillId="4" borderId="15" xfId="1" applyNumberFormat="1" applyFont="1" applyFill="1" applyBorder="1" applyAlignment="1">
      <alignment horizontal="left" vertical="center" wrapText="1"/>
    </xf>
    <xf numFmtId="3" fontId="15" fillId="4" borderId="15" xfId="1" applyNumberFormat="1" applyFont="1" applyFill="1" applyBorder="1" applyAlignment="1">
      <alignment horizontal="right" vertical="center"/>
    </xf>
    <xf numFmtId="9" fontId="17" fillId="4" borderId="15" xfId="2" applyFont="1" applyFill="1" applyBorder="1" applyAlignment="1">
      <alignment horizontal="center" vertical="center" wrapText="1"/>
    </xf>
    <xf numFmtId="9" fontId="18" fillId="4" borderId="15" xfId="2" applyFont="1" applyFill="1" applyBorder="1" applyAlignment="1">
      <alignment horizontal="center" vertical="center"/>
    </xf>
    <xf numFmtId="3" fontId="15" fillId="4" borderId="21" xfId="1" applyNumberFormat="1" applyFont="1" applyFill="1" applyBorder="1" applyAlignment="1">
      <alignment horizontal="right" vertical="center"/>
    </xf>
    <xf numFmtId="165" fontId="10" fillId="2" borderId="15" xfId="1" applyNumberFormat="1" applyFont="1" applyFill="1" applyBorder="1" applyAlignment="1">
      <alignment horizontal="left" vertical="center" wrapText="1"/>
    </xf>
    <xf numFmtId="3" fontId="10" fillId="2" borderId="15" xfId="1" applyNumberFormat="1" applyFont="1" applyFill="1" applyBorder="1" applyAlignment="1">
      <alignment horizontal="right" vertical="center" wrapText="1"/>
    </xf>
    <xf numFmtId="9" fontId="10" fillId="2" borderId="15" xfId="2" applyFont="1" applyFill="1" applyBorder="1" applyAlignment="1">
      <alignment horizontal="center" vertical="center" wrapText="1"/>
    </xf>
    <xf numFmtId="3" fontId="10" fillId="2" borderId="21" xfId="1" applyNumberFormat="1" applyFont="1" applyFill="1" applyBorder="1" applyAlignment="1">
      <alignment horizontal="right" vertical="center" wrapText="1"/>
    </xf>
    <xf numFmtId="165" fontId="14" fillId="6" borderId="15" xfId="1" applyNumberFormat="1" applyFont="1" applyFill="1" applyBorder="1" applyAlignment="1">
      <alignment vertical="center" wrapText="1"/>
    </xf>
    <xf numFmtId="0" fontId="14" fillId="6" borderId="15" xfId="0" applyFont="1" applyFill="1" applyBorder="1" applyAlignment="1">
      <alignment horizontal="right" vertical="center"/>
    </xf>
    <xf numFmtId="9" fontId="14" fillId="6" borderId="15" xfId="2" applyFont="1" applyFill="1" applyBorder="1" applyAlignment="1">
      <alignment horizontal="center" vertical="center"/>
    </xf>
    <xf numFmtId="167" fontId="14" fillId="6" borderId="15" xfId="2" applyNumberFormat="1" applyFont="1" applyFill="1" applyBorder="1" applyAlignment="1">
      <alignment vertical="center"/>
    </xf>
    <xf numFmtId="167" fontId="14" fillId="6" borderId="21" xfId="2" applyNumberFormat="1" applyFont="1" applyFill="1" applyBorder="1" applyAlignment="1">
      <alignment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4" xfId="3" applyFont="1" applyFill="1" applyBorder="1" applyAlignment="1" applyProtection="1">
      <alignment horizontal="center" vertical="top" wrapText="1"/>
    </xf>
    <xf numFmtId="0" fontId="7" fillId="2" borderId="22" xfId="3" applyFont="1" applyFill="1" applyBorder="1" applyAlignment="1" applyProtection="1">
      <alignment horizontal="center" vertical="top" wrapText="1"/>
    </xf>
    <xf numFmtId="0" fontId="7" fillId="2" borderId="16" xfId="3" applyFont="1" applyFill="1" applyBorder="1" applyAlignment="1" applyProtection="1">
      <alignment horizontal="center" vertical="top" wrapText="1"/>
    </xf>
    <xf numFmtId="0" fontId="8" fillId="2" borderId="14" xfId="3" applyFont="1" applyFill="1" applyBorder="1" applyAlignment="1" applyProtection="1">
      <alignment horizontal="center" vertical="center" wrapText="1"/>
    </xf>
    <xf numFmtId="0" fontId="8" fillId="2" borderId="22" xfId="3" applyFont="1" applyFill="1" applyBorder="1" applyAlignment="1" applyProtection="1">
      <alignment horizontal="center" vertical="center" wrapText="1"/>
    </xf>
    <xf numFmtId="0" fontId="8" fillId="2" borderId="16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20" xfId="3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21" xfId="3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 indent="1"/>
    </xf>
    <xf numFmtId="3" fontId="12" fillId="4" borderId="21" xfId="0" applyNumberFormat="1" applyFont="1" applyFill="1" applyBorder="1" applyAlignment="1">
      <alignment horizontal="right" vertical="center"/>
    </xf>
    <xf numFmtId="9" fontId="12" fillId="4" borderId="21" xfId="2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wrapText="1" indent="1"/>
    </xf>
    <xf numFmtId="165" fontId="0" fillId="0" borderId="0" xfId="0" applyNumberFormat="1" applyAlignment="1">
      <alignment vertical="center"/>
    </xf>
    <xf numFmtId="168" fontId="0" fillId="0" borderId="0" xfId="1" applyNumberFormat="1" applyFont="1"/>
    <xf numFmtId="168" fontId="0" fillId="0" borderId="0" xfId="0" applyNumberFormat="1"/>
  </cellXfs>
  <cellStyles count="5">
    <cellStyle name="Comma" xfId="1" builtinId="3"/>
    <cellStyle name="Excel Built-in Separador de milhares 2" xfId="4" xr:uid="{00000000-0005-0000-0000-000000000000}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-476250</xdr:colOff>
      <xdr:row>0</xdr:row>
      <xdr:rowOff>-231511</xdr:rowOff>
    </xdr:from>
    <xdr:to>
      <xdr:col>8</xdr:col>
      <xdr:colOff>1814042</xdr:colOff>
      <xdr:row>2</xdr:row>
      <xdr:rowOff>187786</xdr:rowOff>
    </xdr:to>
    <xdr:pic>
      <xdr:nvPicPr>
        <xdr:cNvPr id="3" name="Picture 1" descr="http://idbnet.iadb.org/sites/identity/es/Documents/Logo%20BID/Portugués/Color/BID_HR_300dpi_RG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76250" y="-231511"/>
          <a:ext cx="3026892" cy="1460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79"/>
  <sheetViews>
    <sheetView tabSelected="1" topLeftCell="H1" zoomScale="73" zoomScaleNormal="73" zoomScalePageLayoutView="130" workbookViewId="0">
      <pane ySplit="1" topLeftCell="A47" activePane="bottomLeft" state="frozen"/>
      <selection activeCell="H1" sqref="H1"/>
      <selection pane="bottomLeft" activeCell="J29" sqref="J29"/>
    </sheetView>
  </sheetViews>
  <sheetFormatPr defaultColWidth="8.85546875" defaultRowHeight="12.75" x14ac:dyDescent="0.2"/>
  <cols>
    <col min="1" max="1" width="9.42578125" hidden="1" customWidth="1"/>
    <col min="2" max="2" width="16.42578125" hidden="1" customWidth="1"/>
    <col min="3" max="3" width="14.85546875" hidden="1" customWidth="1"/>
    <col min="4" max="4" width="4.28515625" hidden="1" customWidth="1"/>
    <col min="5" max="5" width="6" hidden="1" customWidth="1"/>
    <col min="6" max="6" width="8.7109375" style="19" hidden="1" customWidth="1"/>
    <col min="7" max="7" width="7.140625" style="20" hidden="1" customWidth="1"/>
    <col min="8" max="8" width="11" style="42" customWidth="1"/>
    <col min="9" max="9" width="79.140625" style="21" customWidth="1"/>
    <col min="10" max="12" width="12.7109375" customWidth="1"/>
    <col min="13" max="22" width="12.7109375" style="14" customWidth="1"/>
    <col min="23" max="23" width="56.85546875" customWidth="1"/>
    <col min="24" max="24" width="0.28515625" customWidth="1"/>
    <col min="25" max="26" width="14.42578125" customWidth="1"/>
    <col min="27" max="33" width="14.42578125" bestFit="1" customWidth="1"/>
    <col min="34" max="35" width="14.42578125" customWidth="1"/>
    <col min="36" max="38" width="14.42578125" bestFit="1" customWidth="1"/>
    <col min="39" max="39" width="14.42578125" customWidth="1"/>
    <col min="40" max="40" width="14.42578125" bestFit="1" customWidth="1"/>
    <col min="41" max="41" width="14.42578125" customWidth="1"/>
    <col min="42" max="44" width="14.42578125" bestFit="1" customWidth="1"/>
    <col min="45" max="45" width="8" customWidth="1"/>
    <col min="46" max="46" width="17.7109375" bestFit="1" customWidth="1"/>
    <col min="47" max="47" width="8.42578125" customWidth="1"/>
    <col min="48" max="50" width="14.42578125" bestFit="1" customWidth="1"/>
    <col min="51" max="51" width="9.42578125" bestFit="1" customWidth="1"/>
    <col min="52" max="52" width="19.28515625" bestFit="1" customWidth="1"/>
    <col min="53" max="53" width="10" bestFit="1" customWidth="1"/>
    <col min="54" max="54" width="9.42578125" bestFit="1" customWidth="1"/>
    <col min="55" max="55" width="19.28515625" bestFit="1" customWidth="1"/>
    <col min="56" max="56" width="10" bestFit="1" customWidth="1"/>
  </cols>
  <sheetData>
    <row r="1" spans="2:26" ht="50.45" customHeight="1" x14ac:dyDescent="0.2">
      <c r="I1" s="168" t="s">
        <v>199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2:26" ht="31.5" customHeight="1" x14ac:dyDescent="0.2">
      <c r="I2" s="170" t="s">
        <v>137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53"/>
      <c r="W2" s="38"/>
    </row>
    <row r="3" spans="2:26" ht="18.75" customHeight="1" x14ac:dyDescent="0.2">
      <c r="I3" s="39" t="s">
        <v>215</v>
      </c>
      <c r="J3" s="38"/>
      <c r="K3" s="38"/>
      <c r="L3" s="38"/>
      <c r="M3" s="40"/>
      <c r="N3" s="40"/>
      <c r="O3" s="40"/>
      <c r="P3" s="40"/>
      <c r="Q3" s="40"/>
      <c r="R3" s="40"/>
      <c r="S3" s="40"/>
      <c r="T3" s="40"/>
      <c r="U3" s="40"/>
      <c r="V3" s="40"/>
      <c r="W3" s="38"/>
    </row>
    <row r="5" spans="2:26" ht="40.5" customHeight="1" x14ac:dyDescent="0.2">
      <c r="B5" s="1" t="s">
        <v>1</v>
      </c>
      <c r="C5" s="5"/>
      <c r="D5" s="5"/>
      <c r="E5" s="5"/>
      <c r="F5" s="22"/>
      <c r="I5" s="172" t="s">
        <v>139</v>
      </c>
      <c r="J5" s="175" t="s">
        <v>77</v>
      </c>
      <c r="K5" s="178" t="s">
        <v>78</v>
      </c>
      <c r="L5" s="178"/>
      <c r="M5" s="182" t="s">
        <v>79</v>
      </c>
      <c r="N5" s="183"/>
      <c r="O5" s="183"/>
      <c r="P5" s="183"/>
      <c r="Q5" s="183"/>
      <c r="R5" s="183"/>
      <c r="S5" s="183"/>
      <c r="T5" s="183"/>
      <c r="U5" s="183"/>
      <c r="V5" s="184"/>
      <c r="W5" s="58"/>
    </row>
    <row r="6" spans="2:26" ht="40.5" customHeight="1" x14ac:dyDescent="0.2">
      <c r="B6" s="1"/>
      <c r="C6" s="56"/>
      <c r="D6" s="56"/>
      <c r="E6" s="56"/>
      <c r="F6" s="57"/>
      <c r="I6" s="173"/>
      <c r="J6" s="176"/>
      <c r="K6" s="179" t="s">
        <v>198</v>
      </c>
      <c r="L6" s="187"/>
      <c r="M6" s="179">
        <v>2019</v>
      </c>
      <c r="N6" s="180"/>
      <c r="O6" s="179">
        <v>2020</v>
      </c>
      <c r="P6" s="180"/>
      <c r="Q6" s="179">
        <v>2021</v>
      </c>
      <c r="R6" s="180"/>
      <c r="S6" s="179">
        <v>2022</v>
      </c>
      <c r="T6" s="181"/>
      <c r="U6" s="185">
        <v>2023</v>
      </c>
      <c r="V6" s="186"/>
      <c r="W6" s="58"/>
    </row>
    <row r="7" spans="2:26" ht="39.950000000000003" customHeight="1" x14ac:dyDescent="0.2">
      <c r="B7" s="1" t="s">
        <v>8</v>
      </c>
      <c r="C7" s="1" t="s">
        <v>10</v>
      </c>
      <c r="D7" s="1" t="s">
        <v>13</v>
      </c>
      <c r="E7" s="1" t="s">
        <v>18</v>
      </c>
      <c r="F7" s="23" t="s">
        <v>37</v>
      </c>
      <c r="G7" s="20" t="s">
        <v>80</v>
      </c>
      <c r="I7" s="174"/>
      <c r="J7" s="177"/>
      <c r="K7" s="59" t="s">
        <v>81</v>
      </c>
      <c r="L7" s="59" t="s">
        <v>82</v>
      </c>
      <c r="M7" s="59" t="s">
        <v>81</v>
      </c>
      <c r="N7" s="60" t="s">
        <v>82</v>
      </c>
      <c r="O7" s="59" t="s">
        <v>81</v>
      </c>
      <c r="P7" s="60" t="s">
        <v>82</v>
      </c>
      <c r="Q7" s="59" t="s">
        <v>81</v>
      </c>
      <c r="R7" s="60" t="s">
        <v>82</v>
      </c>
      <c r="S7" s="59" t="s">
        <v>81</v>
      </c>
      <c r="T7" s="60" t="s">
        <v>82</v>
      </c>
      <c r="U7" s="61" t="s">
        <v>81</v>
      </c>
      <c r="V7" s="61" t="s">
        <v>82</v>
      </c>
      <c r="W7" s="58"/>
    </row>
    <row r="8" spans="2:26" ht="39.950000000000003" hidden="1" customHeight="1" x14ac:dyDescent="0.2">
      <c r="B8" s="1" t="s">
        <v>83</v>
      </c>
      <c r="C8" s="1" t="s">
        <v>83</v>
      </c>
      <c r="D8" s="5"/>
      <c r="E8" s="5"/>
      <c r="F8" s="22"/>
      <c r="I8" s="62"/>
      <c r="J8" s="63">
        <v>0</v>
      </c>
      <c r="K8" s="63"/>
      <c r="L8" s="63"/>
      <c r="M8" s="63">
        <v>0</v>
      </c>
      <c r="N8" s="64"/>
      <c r="O8" s="63">
        <v>0</v>
      </c>
      <c r="P8" s="64"/>
      <c r="Q8" s="63">
        <v>0</v>
      </c>
      <c r="R8" s="64"/>
      <c r="S8" s="63">
        <v>0</v>
      </c>
      <c r="T8" s="64"/>
      <c r="U8" s="63">
        <v>0</v>
      </c>
      <c r="V8" s="65"/>
      <c r="W8" s="58"/>
    </row>
    <row r="9" spans="2:26" ht="39.950000000000003" hidden="1" customHeight="1" x14ac:dyDescent="0.2">
      <c r="B9" s="3"/>
      <c r="C9" s="1" t="s">
        <v>84</v>
      </c>
      <c r="D9" s="1" t="s">
        <v>84</v>
      </c>
      <c r="E9" s="5"/>
      <c r="F9" s="22"/>
      <c r="I9" s="62"/>
      <c r="J9" s="63">
        <v>0</v>
      </c>
      <c r="K9" s="63"/>
      <c r="L9" s="63"/>
      <c r="M9" s="63">
        <v>0</v>
      </c>
      <c r="N9" s="64"/>
      <c r="O9" s="63">
        <v>0</v>
      </c>
      <c r="P9" s="64"/>
      <c r="Q9" s="63">
        <v>0</v>
      </c>
      <c r="R9" s="64"/>
      <c r="S9" s="63">
        <v>0</v>
      </c>
      <c r="T9" s="64"/>
      <c r="U9" s="63">
        <v>0</v>
      </c>
      <c r="V9" s="65"/>
      <c r="W9" s="58"/>
    </row>
    <row r="10" spans="2:26" ht="39.950000000000003" customHeight="1" x14ac:dyDescent="0.2">
      <c r="B10" s="3"/>
      <c r="C10" s="3"/>
      <c r="D10" s="3"/>
      <c r="E10" s="3"/>
      <c r="F10" s="23" t="s">
        <v>85</v>
      </c>
      <c r="I10" s="66" t="s">
        <v>138</v>
      </c>
      <c r="J10" s="67">
        <f>+J11+J13</f>
        <v>6950000</v>
      </c>
      <c r="K10" s="68">
        <v>1</v>
      </c>
      <c r="L10" s="68">
        <v>0</v>
      </c>
      <c r="M10" s="67">
        <f t="shared" ref="M10:V10" si="0">+M11+M13</f>
        <v>50000</v>
      </c>
      <c r="N10" s="67">
        <f t="shared" si="0"/>
        <v>0</v>
      </c>
      <c r="O10" s="67">
        <f t="shared" si="0"/>
        <v>1380000</v>
      </c>
      <c r="P10" s="67">
        <f t="shared" si="0"/>
        <v>0</v>
      </c>
      <c r="Q10" s="67">
        <f t="shared" si="0"/>
        <v>1725000</v>
      </c>
      <c r="R10" s="67">
        <f t="shared" si="0"/>
        <v>0</v>
      </c>
      <c r="S10" s="67">
        <f t="shared" si="0"/>
        <v>2070000</v>
      </c>
      <c r="T10" s="67">
        <f t="shared" si="0"/>
        <v>0</v>
      </c>
      <c r="U10" s="67">
        <f t="shared" si="0"/>
        <v>1725000</v>
      </c>
      <c r="V10" s="67">
        <f t="shared" si="0"/>
        <v>0</v>
      </c>
      <c r="W10" s="58"/>
      <c r="X10" s="14">
        <f>SUM(L10:U10)</f>
        <v>6950000</v>
      </c>
      <c r="Y10" s="55">
        <f>SUM(M10:U10)</f>
        <v>6950000</v>
      </c>
      <c r="Z10" s="32">
        <f>+J10-Y10</f>
        <v>0</v>
      </c>
    </row>
    <row r="11" spans="2:26" ht="48" customHeight="1" x14ac:dyDescent="0.2">
      <c r="B11" s="3"/>
      <c r="C11" s="3"/>
      <c r="D11" s="3"/>
      <c r="E11" s="3"/>
      <c r="F11" s="23" t="s">
        <v>86</v>
      </c>
      <c r="H11" s="50" t="s">
        <v>168</v>
      </c>
      <c r="I11" s="136" t="s">
        <v>216</v>
      </c>
      <c r="J11" s="69">
        <v>6900000</v>
      </c>
      <c r="K11" s="70">
        <v>1</v>
      </c>
      <c r="L11" s="70">
        <v>0</v>
      </c>
      <c r="M11" s="69">
        <v>0</v>
      </c>
      <c r="N11" s="71">
        <v>0</v>
      </c>
      <c r="O11" s="69">
        <f>+$J11*0.2</f>
        <v>1380000</v>
      </c>
      <c r="P11" s="71">
        <v>0</v>
      </c>
      <c r="Q11" s="69">
        <f>+$J11*0.25</f>
        <v>1725000</v>
      </c>
      <c r="R11" s="71">
        <v>0</v>
      </c>
      <c r="S11" s="69">
        <f>+$J11*0.3</f>
        <v>2070000</v>
      </c>
      <c r="T11" s="71">
        <v>0</v>
      </c>
      <c r="U11" s="69">
        <f>+$J11*0.25</f>
        <v>1725000</v>
      </c>
      <c r="V11" s="71">
        <v>0</v>
      </c>
      <c r="X11" s="14">
        <f>SUM(M11:U11)</f>
        <v>6900000</v>
      </c>
      <c r="Y11" s="55">
        <f t="shared" ref="Y11:Y69" si="1">SUM(M11:U11)</f>
        <v>6900000</v>
      </c>
      <c r="Z11" s="32">
        <f t="shared" ref="Z11:Z69" si="2">+J11-Y11</f>
        <v>0</v>
      </c>
    </row>
    <row r="12" spans="2:26" ht="48" customHeight="1" x14ac:dyDescent="0.2">
      <c r="B12" s="3"/>
      <c r="C12" s="3"/>
      <c r="D12" s="3"/>
      <c r="E12" s="3"/>
      <c r="F12" s="23"/>
      <c r="H12" s="50"/>
      <c r="I12" s="191" t="s">
        <v>217</v>
      </c>
      <c r="J12" s="192">
        <v>6900000</v>
      </c>
      <c r="K12" s="193">
        <v>1</v>
      </c>
      <c r="L12" s="193">
        <v>0</v>
      </c>
      <c r="M12" s="192">
        <v>0</v>
      </c>
      <c r="N12" s="192">
        <v>0</v>
      </c>
      <c r="O12" s="192"/>
      <c r="P12" s="192">
        <v>0</v>
      </c>
      <c r="Q12" s="192"/>
      <c r="R12" s="192">
        <v>0</v>
      </c>
      <c r="S12" s="192"/>
      <c r="T12" s="192">
        <v>0</v>
      </c>
      <c r="U12" s="192"/>
      <c r="V12" s="192">
        <v>0</v>
      </c>
      <c r="W12" s="72" t="s">
        <v>201</v>
      </c>
      <c r="X12" s="14"/>
      <c r="Y12" s="55"/>
      <c r="Z12" s="32"/>
    </row>
    <row r="13" spans="2:26" ht="39.950000000000003" customHeight="1" x14ac:dyDescent="0.2">
      <c r="B13" s="3"/>
      <c r="C13" s="3"/>
      <c r="D13" s="3"/>
      <c r="E13" s="3"/>
      <c r="F13" s="23" t="s">
        <v>87</v>
      </c>
      <c r="H13" s="50" t="s">
        <v>168</v>
      </c>
      <c r="I13" s="136" t="s">
        <v>218</v>
      </c>
      <c r="J13" s="69">
        <v>50000</v>
      </c>
      <c r="K13" s="70">
        <v>1</v>
      </c>
      <c r="L13" s="70">
        <v>0</v>
      </c>
      <c r="M13" s="69">
        <f>+J13</f>
        <v>50000</v>
      </c>
      <c r="N13" s="71">
        <v>0</v>
      </c>
      <c r="O13" s="69">
        <v>0</v>
      </c>
      <c r="P13" s="71">
        <v>0</v>
      </c>
      <c r="Q13" s="69">
        <v>0</v>
      </c>
      <c r="R13" s="71">
        <v>0</v>
      </c>
      <c r="S13" s="69">
        <v>0</v>
      </c>
      <c r="T13" s="71">
        <v>0</v>
      </c>
      <c r="U13" s="69">
        <v>0</v>
      </c>
      <c r="V13" s="71">
        <v>0</v>
      </c>
      <c r="X13" s="14">
        <f t="shared" ref="X13:X58" si="3">SUM(L13:U13)</f>
        <v>50000</v>
      </c>
      <c r="Y13" s="55">
        <f t="shared" si="1"/>
        <v>50000</v>
      </c>
      <c r="Z13" s="32">
        <f t="shared" si="2"/>
        <v>0</v>
      </c>
    </row>
    <row r="14" spans="2:26" ht="39.950000000000003" customHeight="1" x14ac:dyDescent="0.2">
      <c r="B14" s="3"/>
      <c r="C14" s="3"/>
      <c r="D14" s="6"/>
      <c r="E14" s="6"/>
      <c r="F14" s="57"/>
      <c r="H14" s="50"/>
      <c r="I14" s="191" t="s">
        <v>219</v>
      </c>
      <c r="J14" s="192">
        <v>50000</v>
      </c>
      <c r="K14" s="193">
        <v>1</v>
      </c>
      <c r="L14" s="193">
        <v>0</v>
      </c>
      <c r="M14" s="192">
        <v>50000</v>
      </c>
      <c r="N14" s="192">
        <v>0</v>
      </c>
      <c r="O14" s="192">
        <v>0</v>
      </c>
      <c r="P14" s="192">
        <v>0</v>
      </c>
      <c r="Q14" s="192">
        <v>0</v>
      </c>
      <c r="R14" s="192"/>
      <c r="S14" s="192">
        <v>0</v>
      </c>
      <c r="T14" s="192">
        <v>0</v>
      </c>
      <c r="U14" s="192">
        <v>0</v>
      </c>
      <c r="V14" s="192">
        <v>0</v>
      </c>
      <c r="W14" s="72" t="s">
        <v>176</v>
      </c>
      <c r="X14" s="14"/>
      <c r="Y14" s="55"/>
      <c r="Z14" s="32"/>
    </row>
    <row r="15" spans="2:26" ht="39.950000000000003" customHeight="1" x14ac:dyDescent="0.2">
      <c r="B15" s="3"/>
      <c r="C15" s="3"/>
      <c r="D15" s="1" t="s">
        <v>88</v>
      </c>
      <c r="E15" s="1" t="s">
        <v>88</v>
      </c>
      <c r="F15" s="22" t="str">
        <f>E15</f>
        <v>COMPONENTE 2 - FORTALECIMENTO DAS REDES INTEGRADAS DE SAÚDE NA RMS</v>
      </c>
      <c r="G15" s="20" t="str">
        <f>F15</f>
        <v>COMPONENTE 2 - FORTALECIMENTO DAS REDES INTEGRADAS DE SAÚDE NA RMS</v>
      </c>
      <c r="I15" s="73" t="s">
        <v>141</v>
      </c>
      <c r="J15" s="74">
        <f>+J16+J19+J22+J27</f>
        <v>10330000</v>
      </c>
      <c r="K15" s="75">
        <v>1</v>
      </c>
      <c r="L15" s="75">
        <f t="shared" ref="L15:U15" si="4">+L16+L19+L22+L27</f>
        <v>0</v>
      </c>
      <c r="M15" s="74">
        <f t="shared" si="4"/>
        <v>1083000</v>
      </c>
      <c r="N15" s="76">
        <v>0</v>
      </c>
      <c r="O15" s="74">
        <f t="shared" si="4"/>
        <v>3650500</v>
      </c>
      <c r="P15" s="76">
        <v>0</v>
      </c>
      <c r="Q15" s="74">
        <f t="shared" si="4"/>
        <v>2152500</v>
      </c>
      <c r="R15" s="76">
        <v>0</v>
      </c>
      <c r="S15" s="74">
        <f t="shared" si="4"/>
        <v>2152500</v>
      </c>
      <c r="T15" s="76">
        <v>0</v>
      </c>
      <c r="U15" s="74">
        <f t="shared" si="4"/>
        <v>1291500</v>
      </c>
      <c r="V15" s="76">
        <v>0</v>
      </c>
      <c r="W15" s="72"/>
      <c r="X15" s="14">
        <f t="shared" si="3"/>
        <v>10330000</v>
      </c>
      <c r="Y15" s="55">
        <f t="shared" si="1"/>
        <v>10330000</v>
      </c>
      <c r="Z15" s="32">
        <f t="shared" si="2"/>
        <v>0</v>
      </c>
    </row>
    <row r="16" spans="2:26" ht="39" customHeight="1" thickBot="1" x14ac:dyDescent="0.25">
      <c r="B16" s="3"/>
      <c r="C16" s="3"/>
      <c r="D16" s="3"/>
      <c r="E16" s="1" t="s">
        <v>89</v>
      </c>
      <c r="F16" s="23" t="s">
        <v>89</v>
      </c>
      <c r="H16" s="49"/>
      <c r="I16" s="136" t="s">
        <v>140</v>
      </c>
      <c r="J16" s="77">
        <f>+J17+J18</f>
        <v>290000</v>
      </c>
      <c r="K16" s="78"/>
      <c r="L16" s="78">
        <f t="shared" ref="L16:U16" si="5">+L17+L18</f>
        <v>0</v>
      </c>
      <c r="M16" s="77">
        <f t="shared" si="5"/>
        <v>110000</v>
      </c>
      <c r="N16" s="79">
        <v>0</v>
      </c>
      <c r="O16" s="77">
        <f t="shared" si="5"/>
        <v>180000</v>
      </c>
      <c r="P16" s="79">
        <v>0</v>
      </c>
      <c r="Q16" s="77">
        <f t="shared" si="5"/>
        <v>0</v>
      </c>
      <c r="R16" s="79">
        <v>0</v>
      </c>
      <c r="S16" s="77">
        <f t="shared" si="5"/>
        <v>0</v>
      </c>
      <c r="T16" s="79">
        <v>0</v>
      </c>
      <c r="U16" s="77">
        <f t="shared" si="5"/>
        <v>0</v>
      </c>
      <c r="V16" s="79">
        <v>0</v>
      </c>
      <c r="W16" s="125"/>
      <c r="X16" s="14">
        <f t="shared" si="3"/>
        <v>290000</v>
      </c>
      <c r="Y16" s="55">
        <f t="shared" si="1"/>
        <v>290000</v>
      </c>
      <c r="Z16" s="32">
        <f t="shared" si="2"/>
        <v>0</v>
      </c>
    </row>
    <row r="17" spans="2:26" ht="39" customHeight="1" x14ac:dyDescent="0.2">
      <c r="B17" s="3"/>
      <c r="C17" s="3"/>
      <c r="D17" s="3"/>
      <c r="E17" s="3"/>
      <c r="F17" s="23" t="s">
        <v>90</v>
      </c>
      <c r="H17" s="50" t="s">
        <v>168</v>
      </c>
      <c r="I17" s="80" t="s">
        <v>143</v>
      </c>
      <c r="J17" s="81">
        <v>150000</v>
      </c>
      <c r="K17" s="82">
        <v>1</v>
      </c>
      <c r="L17" s="82">
        <v>0</v>
      </c>
      <c r="M17" s="81">
        <f>+J17*0.5</f>
        <v>75000</v>
      </c>
      <c r="N17" s="83">
        <v>0</v>
      </c>
      <c r="O17" s="81">
        <f>+J17*0.5</f>
        <v>75000</v>
      </c>
      <c r="P17" s="83">
        <v>0</v>
      </c>
      <c r="Q17" s="81">
        <f>Plan1!I38</f>
        <v>0</v>
      </c>
      <c r="R17" s="83">
        <v>0</v>
      </c>
      <c r="S17" s="81">
        <f>Plan1!J38</f>
        <v>0</v>
      </c>
      <c r="T17" s="83">
        <v>0</v>
      </c>
      <c r="U17" s="81">
        <f>Plan1!K38</f>
        <v>0</v>
      </c>
      <c r="V17" s="123">
        <v>0</v>
      </c>
      <c r="W17" s="188" t="s">
        <v>177</v>
      </c>
      <c r="X17" s="14">
        <f t="shared" si="3"/>
        <v>150000</v>
      </c>
      <c r="Y17" s="55">
        <f t="shared" si="1"/>
        <v>150000</v>
      </c>
      <c r="Z17" s="32">
        <f t="shared" si="2"/>
        <v>0</v>
      </c>
    </row>
    <row r="18" spans="2:26" ht="39" customHeight="1" thickBot="1" x14ac:dyDescent="0.25">
      <c r="B18" s="3"/>
      <c r="C18" s="3"/>
      <c r="D18" s="3"/>
      <c r="E18" s="3"/>
      <c r="F18" s="23"/>
      <c r="H18" s="50" t="s">
        <v>168</v>
      </c>
      <c r="I18" s="80" t="s">
        <v>142</v>
      </c>
      <c r="J18" s="81">
        <v>140000</v>
      </c>
      <c r="K18" s="82">
        <v>1</v>
      </c>
      <c r="L18" s="82">
        <v>0</v>
      </c>
      <c r="M18" s="81">
        <f>+J18*0.25</f>
        <v>35000</v>
      </c>
      <c r="N18" s="83">
        <v>0</v>
      </c>
      <c r="O18" s="81">
        <f>+J18*0.75</f>
        <v>105000</v>
      </c>
      <c r="P18" s="83">
        <v>0</v>
      </c>
      <c r="Q18" s="81">
        <v>0</v>
      </c>
      <c r="R18" s="83">
        <v>0</v>
      </c>
      <c r="S18" s="81">
        <v>0</v>
      </c>
      <c r="T18" s="83">
        <v>0</v>
      </c>
      <c r="U18" s="81">
        <v>0</v>
      </c>
      <c r="V18" s="123">
        <v>0</v>
      </c>
      <c r="W18" s="189"/>
      <c r="X18" s="14">
        <f t="shared" si="3"/>
        <v>140000</v>
      </c>
      <c r="Y18" s="55">
        <f t="shared" si="1"/>
        <v>140000</v>
      </c>
      <c r="Z18" s="32">
        <f t="shared" si="2"/>
        <v>0</v>
      </c>
    </row>
    <row r="19" spans="2:26" ht="39" customHeight="1" thickBot="1" x14ac:dyDescent="0.25">
      <c r="B19" s="3"/>
      <c r="C19" s="3"/>
      <c r="D19" s="3"/>
      <c r="E19" s="1" t="s">
        <v>91</v>
      </c>
      <c r="F19" s="23" t="str">
        <f>E19</f>
        <v>PROJETOS EXECUTIVOS</v>
      </c>
      <c r="G19" s="20" t="str">
        <f>F19</f>
        <v>PROJETOS EXECUTIVOS</v>
      </c>
      <c r="I19" s="136" t="s">
        <v>145</v>
      </c>
      <c r="J19" s="77">
        <f>+J20+J21</f>
        <v>565000</v>
      </c>
      <c r="K19" s="78"/>
      <c r="L19" s="78">
        <f t="shared" ref="L19:U19" si="6">+L20+L21</f>
        <v>0</v>
      </c>
      <c r="M19" s="77">
        <f t="shared" si="6"/>
        <v>112000</v>
      </c>
      <c r="N19" s="79">
        <v>0</v>
      </c>
      <c r="O19" s="77">
        <f t="shared" si="6"/>
        <v>453000</v>
      </c>
      <c r="P19" s="79">
        <v>0</v>
      </c>
      <c r="Q19" s="77">
        <f t="shared" si="6"/>
        <v>0</v>
      </c>
      <c r="R19" s="79">
        <v>0</v>
      </c>
      <c r="S19" s="77">
        <f t="shared" si="6"/>
        <v>0</v>
      </c>
      <c r="T19" s="79">
        <v>0</v>
      </c>
      <c r="U19" s="77">
        <f t="shared" si="6"/>
        <v>0</v>
      </c>
      <c r="V19" s="79">
        <v>0</v>
      </c>
      <c r="W19" s="126"/>
      <c r="X19" s="14">
        <f t="shared" si="3"/>
        <v>565000</v>
      </c>
      <c r="Y19" s="55">
        <f t="shared" si="1"/>
        <v>565000</v>
      </c>
      <c r="Z19" s="32">
        <f t="shared" si="2"/>
        <v>0</v>
      </c>
    </row>
    <row r="20" spans="2:26" ht="39" customHeight="1" x14ac:dyDescent="0.2">
      <c r="B20" s="3"/>
      <c r="C20" s="3"/>
      <c r="D20" s="3"/>
      <c r="E20" s="6"/>
      <c r="F20" s="23"/>
      <c r="H20" s="50" t="s">
        <v>168</v>
      </c>
      <c r="I20" s="80" t="s">
        <v>148</v>
      </c>
      <c r="J20" s="84">
        <v>280000</v>
      </c>
      <c r="K20" s="85">
        <v>1</v>
      </c>
      <c r="L20" s="85">
        <v>0</v>
      </c>
      <c r="M20" s="84">
        <f>+J20*0.4</f>
        <v>112000</v>
      </c>
      <c r="N20" s="86">
        <v>0</v>
      </c>
      <c r="O20" s="84">
        <f>+J20*0.6</f>
        <v>168000</v>
      </c>
      <c r="P20" s="86">
        <v>0</v>
      </c>
      <c r="Q20" s="84">
        <v>0</v>
      </c>
      <c r="R20" s="86">
        <v>0</v>
      </c>
      <c r="S20" s="84">
        <v>0</v>
      </c>
      <c r="T20" s="86">
        <v>0</v>
      </c>
      <c r="U20" s="84">
        <v>0</v>
      </c>
      <c r="V20" s="124">
        <v>0</v>
      </c>
      <c r="W20" s="188" t="s">
        <v>220</v>
      </c>
      <c r="X20" s="14">
        <f t="shared" si="3"/>
        <v>280000</v>
      </c>
      <c r="Y20" s="55">
        <f t="shared" si="1"/>
        <v>280000</v>
      </c>
      <c r="Z20" s="32">
        <f t="shared" si="2"/>
        <v>0</v>
      </c>
    </row>
    <row r="21" spans="2:26" ht="39" customHeight="1" thickBot="1" x14ac:dyDescent="0.25">
      <c r="B21" s="3"/>
      <c r="C21" s="3"/>
      <c r="D21" s="3"/>
      <c r="E21" s="3"/>
      <c r="F21" s="23" t="s">
        <v>92</v>
      </c>
      <c r="H21" s="50" t="s">
        <v>168</v>
      </c>
      <c r="I21" s="80" t="s">
        <v>144</v>
      </c>
      <c r="J21" s="87">
        <v>285000</v>
      </c>
      <c r="K21" s="82">
        <v>1</v>
      </c>
      <c r="L21" s="85">
        <v>0</v>
      </c>
      <c r="M21" s="81">
        <v>0</v>
      </c>
      <c r="N21" s="83">
        <v>0</v>
      </c>
      <c r="O21" s="81">
        <f>+J21</f>
        <v>285000</v>
      </c>
      <c r="P21" s="83">
        <v>0</v>
      </c>
      <c r="Q21" s="81">
        <f>Plan1!I43</f>
        <v>0</v>
      </c>
      <c r="R21" s="83">
        <v>0</v>
      </c>
      <c r="S21" s="81">
        <f>Plan1!J43</f>
        <v>0</v>
      </c>
      <c r="T21" s="83">
        <v>0</v>
      </c>
      <c r="U21" s="81">
        <f>Plan1!K43</f>
        <v>0</v>
      </c>
      <c r="V21" s="123">
        <v>0</v>
      </c>
      <c r="W21" s="189"/>
      <c r="X21" s="14">
        <f t="shared" si="3"/>
        <v>285000</v>
      </c>
      <c r="Y21" s="55">
        <f t="shared" si="1"/>
        <v>285000</v>
      </c>
      <c r="Z21" s="32">
        <f t="shared" si="2"/>
        <v>0</v>
      </c>
    </row>
    <row r="22" spans="2:26" ht="39" customHeight="1" thickBot="1" x14ac:dyDescent="0.25">
      <c r="B22" s="3"/>
      <c r="C22" s="3"/>
      <c r="D22" s="3"/>
      <c r="E22" s="3"/>
      <c r="F22" s="24"/>
      <c r="G22" s="20" t="s">
        <v>93</v>
      </c>
      <c r="I22" s="137" t="s">
        <v>213</v>
      </c>
      <c r="J22" s="77">
        <f>+J23+J24+J25+J26</f>
        <v>865000</v>
      </c>
      <c r="K22" s="78"/>
      <c r="L22" s="78">
        <f t="shared" ref="L22:U22" si="7">+L23+L24+L25+L26</f>
        <v>0</v>
      </c>
      <c r="M22" s="77">
        <f t="shared" si="7"/>
        <v>0</v>
      </c>
      <c r="N22" s="79">
        <v>0</v>
      </c>
      <c r="O22" s="77">
        <f t="shared" si="7"/>
        <v>865000</v>
      </c>
      <c r="P22" s="79">
        <v>0</v>
      </c>
      <c r="Q22" s="77">
        <f t="shared" si="7"/>
        <v>0</v>
      </c>
      <c r="R22" s="79">
        <v>0</v>
      </c>
      <c r="S22" s="77">
        <f t="shared" si="7"/>
        <v>0</v>
      </c>
      <c r="T22" s="79">
        <v>0</v>
      </c>
      <c r="U22" s="77">
        <f t="shared" si="7"/>
        <v>0</v>
      </c>
      <c r="V22" s="79">
        <v>0</v>
      </c>
      <c r="W22" s="126"/>
      <c r="X22" s="14">
        <f t="shared" si="3"/>
        <v>865000</v>
      </c>
      <c r="Y22" s="55">
        <f t="shared" si="1"/>
        <v>865000</v>
      </c>
      <c r="Z22" s="32">
        <f t="shared" si="2"/>
        <v>0</v>
      </c>
    </row>
    <row r="23" spans="2:26" ht="39" customHeight="1" x14ac:dyDescent="0.2">
      <c r="B23" s="3"/>
      <c r="C23" s="3"/>
      <c r="D23" s="3"/>
      <c r="E23" s="3"/>
      <c r="F23" s="24"/>
      <c r="G23" s="20" t="s">
        <v>94</v>
      </c>
      <c r="H23" s="47" t="s">
        <v>169</v>
      </c>
      <c r="I23" s="80" t="s">
        <v>146</v>
      </c>
      <c r="J23" s="81">
        <v>430000</v>
      </c>
      <c r="K23" s="82">
        <v>1</v>
      </c>
      <c r="L23" s="82">
        <v>0</v>
      </c>
      <c r="M23" s="81">
        <v>0</v>
      </c>
      <c r="N23" s="83">
        <v>0</v>
      </c>
      <c r="O23" s="81">
        <f>+J23</f>
        <v>430000</v>
      </c>
      <c r="P23" s="83">
        <v>0</v>
      </c>
      <c r="Q23" s="81">
        <v>0</v>
      </c>
      <c r="R23" s="83">
        <v>0</v>
      </c>
      <c r="S23" s="81">
        <v>0</v>
      </c>
      <c r="T23" s="83">
        <v>0</v>
      </c>
      <c r="U23" s="81">
        <v>0</v>
      </c>
      <c r="V23" s="123">
        <v>0</v>
      </c>
      <c r="W23" s="188" t="s">
        <v>178</v>
      </c>
      <c r="X23" s="14">
        <f t="shared" si="3"/>
        <v>430000</v>
      </c>
      <c r="Y23" s="55">
        <f t="shared" si="1"/>
        <v>430000</v>
      </c>
      <c r="Z23" s="32">
        <f t="shared" si="2"/>
        <v>0</v>
      </c>
    </row>
    <row r="24" spans="2:26" ht="39" customHeight="1" x14ac:dyDescent="0.2">
      <c r="B24" s="3"/>
      <c r="C24" s="3"/>
      <c r="D24" s="3"/>
      <c r="E24" s="3"/>
      <c r="F24" s="24"/>
      <c r="H24" s="47" t="s">
        <v>169</v>
      </c>
      <c r="I24" s="80" t="s">
        <v>156</v>
      </c>
      <c r="J24" s="81">
        <v>130000</v>
      </c>
      <c r="K24" s="82">
        <v>1</v>
      </c>
      <c r="L24" s="82">
        <v>0</v>
      </c>
      <c r="M24" s="81">
        <v>0</v>
      </c>
      <c r="N24" s="83">
        <v>0</v>
      </c>
      <c r="O24" s="81">
        <f>+J24</f>
        <v>130000</v>
      </c>
      <c r="P24" s="83">
        <v>0</v>
      </c>
      <c r="Q24" s="81">
        <v>0</v>
      </c>
      <c r="R24" s="83">
        <v>0</v>
      </c>
      <c r="S24" s="81">
        <v>0</v>
      </c>
      <c r="T24" s="83">
        <v>0</v>
      </c>
      <c r="U24" s="81">
        <v>0</v>
      </c>
      <c r="V24" s="123">
        <v>0</v>
      </c>
      <c r="W24" s="190"/>
      <c r="X24" s="14">
        <f t="shared" si="3"/>
        <v>130000</v>
      </c>
      <c r="Y24" s="55">
        <f t="shared" si="1"/>
        <v>130000</v>
      </c>
      <c r="Z24" s="32">
        <f t="shared" si="2"/>
        <v>0</v>
      </c>
    </row>
    <row r="25" spans="2:26" ht="39" customHeight="1" x14ac:dyDescent="0.2">
      <c r="B25" s="3"/>
      <c r="C25" s="3"/>
      <c r="D25" s="3"/>
      <c r="E25" s="3"/>
      <c r="F25" s="24"/>
      <c r="H25" s="47" t="s">
        <v>169</v>
      </c>
      <c r="I25" s="80" t="s">
        <v>157</v>
      </c>
      <c r="J25" s="81">
        <v>45000</v>
      </c>
      <c r="K25" s="82">
        <v>1</v>
      </c>
      <c r="L25" s="82">
        <v>0</v>
      </c>
      <c r="M25" s="81">
        <v>0</v>
      </c>
      <c r="N25" s="83">
        <v>0</v>
      </c>
      <c r="O25" s="81">
        <f t="shared" ref="O25:O26" si="8">+J25</f>
        <v>45000</v>
      </c>
      <c r="P25" s="83">
        <v>0</v>
      </c>
      <c r="Q25" s="81">
        <v>0</v>
      </c>
      <c r="R25" s="83">
        <v>0</v>
      </c>
      <c r="S25" s="81">
        <v>0</v>
      </c>
      <c r="T25" s="83">
        <v>0</v>
      </c>
      <c r="U25" s="81">
        <v>0</v>
      </c>
      <c r="V25" s="123">
        <v>0</v>
      </c>
      <c r="W25" s="190"/>
      <c r="X25" s="14">
        <f t="shared" si="3"/>
        <v>45000</v>
      </c>
      <c r="Y25" s="55">
        <f t="shared" si="1"/>
        <v>45000</v>
      </c>
      <c r="Z25" s="32">
        <f t="shared" si="2"/>
        <v>0</v>
      </c>
    </row>
    <row r="26" spans="2:26" ht="39" customHeight="1" thickBot="1" x14ac:dyDescent="0.25">
      <c r="B26" s="3"/>
      <c r="C26" s="3"/>
      <c r="D26" s="3"/>
      <c r="E26" s="3"/>
      <c r="F26" s="24"/>
      <c r="H26" s="47" t="s">
        <v>169</v>
      </c>
      <c r="I26" s="80" t="s">
        <v>160</v>
      </c>
      <c r="J26" s="81">
        <v>260000</v>
      </c>
      <c r="K26" s="82">
        <v>1</v>
      </c>
      <c r="L26" s="82">
        <v>0</v>
      </c>
      <c r="M26" s="81">
        <v>0</v>
      </c>
      <c r="N26" s="83">
        <v>0</v>
      </c>
      <c r="O26" s="81">
        <f t="shared" si="8"/>
        <v>260000</v>
      </c>
      <c r="P26" s="83">
        <v>0</v>
      </c>
      <c r="Q26" s="81">
        <v>0</v>
      </c>
      <c r="R26" s="83">
        <v>0</v>
      </c>
      <c r="S26" s="81">
        <v>0</v>
      </c>
      <c r="T26" s="83">
        <v>0</v>
      </c>
      <c r="U26" s="81">
        <v>0</v>
      </c>
      <c r="V26" s="123">
        <v>0</v>
      </c>
      <c r="W26" s="189"/>
      <c r="X26" s="14">
        <f t="shared" si="3"/>
        <v>260000</v>
      </c>
      <c r="Y26" s="55">
        <f t="shared" si="1"/>
        <v>260000</v>
      </c>
      <c r="Z26" s="32">
        <f t="shared" si="2"/>
        <v>0</v>
      </c>
    </row>
    <row r="27" spans="2:26" ht="39" customHeight="1" thickBot="1" x14ac:dyDescent="0.25">
      <c r="B27" s="3"/>
      <c r="C27" s="3"/>
      <c r="D27" s="3"/>
      <c r="E27" s="3"/>
      <c r="F27" s="24"/>
      <c r="G27" s="20" t="s">
        <v>95</v>
      </c>
      <c r="I27" s="138" t="s">
        <v>147</v>
      </c>
      <c r="J27" s="77">
        <f>+J28+J29+J30</f>
        <v>8610000</v>
      </c>
      <c r="K27" s="78"/>
      <c r="L27" s="78">
        <f t="shared" ref="L27:U27" si="9">+L28+L29+L30</f>
        <v>0</v>
      </c>
      <c r="M27" s="77">
        <f t="shared" si="9"/>
        <v>861000</v>
      </c>
      <c r="N27" s="79">
        <v>0</v>
      </c>
      <c r="O27" s="77">
        <f t="shared" si="9"/>
        <v>2152500</v>
      </c>
      <c r="P27" s="79">
        <v>0</v>
      </c>
      <c r="Q27" s="77">
        <f t="shared" si="9"/>
        <v>2152500</v>
      </c>
      <c r="R27" s="79">
        <v>0</v>
      </c>
      <c r="S27" s="77">
        <f t="shared" si="9"/>
        <v>2152500</v>
      </c>
      <c r="T27" s="79">
        <v>0</v>
      </c>
      <c r="U27" s="77">
        <f t="shared" si="9"/>
        <v>1291500</v>
      </c>
      <c r="V27" s="79">
        <v>0</v>
      </c>
      <c r="W27" s="126"/>
      <c r="X27" s="14">
        <f t="shared" si="3"/>
        <v>8610000</v>
      </c>
      <c r="Y27" s="55">
        <f t="shared" si="1"/>
        <v>8610000</v>
      </c>
      <c r="Z27" s="32">
        <f t="shared" si="2"/>
        <v>0</v>
      </c>
    </row>
    <row r="28" spans="2:26" ht="39" customHeight="1" thickBot="1" x14ac:dyDescent="0.25">
      <c r="B28" s="3"/>
      <c r="C28" s="3"/>
      <c r="D28" s="3"/>
      <c r="E28" s="3"/>
      <c r="F28" s="24"/>
      <c r="G28" s="20" t="s">
        <v>96</v>
      </c>
      <c r="H28" s="50" t="s">
        <v>168</v>
      </c>
      <c r="I28" s="80" t="s">
        <v>153</v>
      </c>
      <c r="J28" s="81">
        <v>2940000</v>
      </c>
      <c r="K28" s="82">
        <v>1</v>
      </c>
      <c r="L28" s="82">
        <v>0</v>
      </c>
      <c r="M28" s="81">
        <f>+$J28*0.1</f>
        <v>294000</v>
      </c>
      <c r="N28" s="83">
        <v>0</v>
      </c>
      <c r="O28" s="81">
        <f>+$J28*0.25</f>
        <v>735000</v>
      </c>
      <c r="P28" s="83">
        <v>0</v>
      </c>
      <c r="Q28" s="81">
        <f t="shared" ref="Q28:S30" si="10">+$J28*0.25</f>
        <v>735000</v>
      </c>
      <c r="R28" s="83">
        <v>0</v>
      </c>
      <c r="S28" s="81">
        <f t="shared" si="10"/>
        <v>735000</v>
      </c>
      <c r="T28" s="83">
        <v>0</v>
      </c>
      <c r="U28" s="81">
        <f>+$J28*0.15</f>
        <v>441000</v>
      </c>
      <c r="V28" s="123">
        <v>0</v>
      </c>
      <c r="W28" s="130" t="s">
        <v>200</v>
      </c>
      <c r="X28" s="14">
        <f t="shared" si="3"/>
        <v>2940000</v>
      </c>
      <c r="Y28" s="55">
        <f t="shared" si="1"/>
        <v>2940000</v>
      </c>
      <c r="Z28" s="32">
        <f t="shared" si="2"/>
        <v>0</v>
      </c>
    </row>
    <row r="29" spans="2:26" ht="39" customHeight="1" thickBot="1" x14ac:dyDescent="0.25">
      <c r="B29" s="3"/>
      <c r="C29" s="3"/>
      <c r="D29" s="3"/>
      <c r="E29" s="3"/>
      <c r="F29" s="24"/>
      <c r="G29" s="20" t="s">
        <v>97</v>
      </c>
      <c r="H29" s="50" t="s">
        <v>168</v>
      </c>
      <c r="I29" s="80" t="s">
        <v>154</v>
      </c>
      <c r="J29" s="81">
        <v>1670000</v>
      </c>
      <c r="K29" s="82">
        <v>1</v>
      </c>
      <c r="L29" s="82">
        <v>0</v>
      </c>
      <c r="M29" s="81">
        <f t="shared" ref="M29:M30" si="11">+$J29*0.1</f>
        <v>167000</v>
      </c>
      <c r="N29" s="83">
        <v>0</v>
      </c>
      <c r="O29" s="81">
        <f>+$J29*0.25</f>
        <v>417500</v>
      </c>
      <c r="P29" s="83">
        <v>0</v>
      </c>
      <c r="Q29" s="81">
        <f t="shared" si="10"/>
        <v>417500</v>
      </c>
      <c r="R29" s="83">
        <v>0</v>
      </c>
      <c r="S29" s="81">
        <f t="shared" si="10"/>
        <v>417500</v>
      </c>
      <c r="T29" s="83">
        <v>0</v>
      </c>
      <c r="U29" s="81">
        <f>+$J29*0.15</f>
        <v>250500</v>
      </c>
      <c r="V29" s="123">
        <v>0</v>
      </c>
      <c r="W29" s="130" t="s">
        <v>183</v>
      </c>
      <c r="X29" s="14">
        <f t="shared" si="3"/>
        <v>1670000</v>
      </c>
      <c r="Y29" s="55">
        <f t="shared" si="1"/>
        <v>1670000</v>
      </c>
      <c r="Z29" s="32">
        <f t="shared" si="2"/>
        <v>0</v>
      </c>
    </row>
    <row r="30" spans="2:26" ht="49.5" customHeight="1" thickBot="1" x14ac:dyDescent="0.25">
      <c r="B30" s="3"/>
      <c r="C30" s="3"/>
      <c r="D30" s="3"/>
      <c r="E30" s="3"/>
      <c r="F30" s="24"/>
      <c r="G30" s="20" t="s">
        <v>98</v>
      </c>
      <c r="H30" s="50" t="s">
        <v>168</v>
      </c>
      <c r="I30" s="80" t="s">
        <v>155</v>
      </c>
      <c r="J30" s="81">
        <v>4000000</v>
      </c>
      <c r="K30" s="82">
        <v>1</v>
      </c>
      <c r="L30" s="82">
        <v>0</v>
      </c>
      <c r="M30" s="81">
        <f t="shared" si="11"/>
        <v>400000</v>
      </c>
      <c r="N30" s="83">
        <v>0</v>
      </c>
      <c r="O30" s="81">
        <f>+$J30*0.25</f>
        <v>1000000</v>
      </c>
      <c r="P30" s="83">
        <v>0</v>
      </c>
      <c r="Q30" s="81">
        <f t="shared" si="10"/>
        <v>1000000</v>
      </c>
      <c r="R30" s="83">
        <v>0</v>
      </c>
      <c r="S30" s="81">
        <f t="shared" si="10"/>
        <v>1000000</v>
      </c>
      <c r="T30" s="83">
        <v>0</v>
      </c>
      <c r="U30" s="81">
        <f>+$J30*0.15</f>
        <v>600000</v>
      </c>
      <c r="V30" s="123">
        <v>0</v>
      </c>
      <c r="W30" s="130" t="s">
        <v>202</v>
      </c>
      <c r="X30" s="14">
        <f t="shared" si="3"/>
        <v>4000000</v>
      </c>
      <c r="Y30" s="55">
        <f t="shared" si="1"/>
        <v>4000000</v>
      </c>
      <c r="Z30" s="32">
        <f t="shared" si="2"/>
        <v>0</v>
      </c>
    </row>
    <row r="31" spans="2:26" ht="39.950000000000003" customHeight="1" x14ac:dyDescent="0.2">
      <c r="B31" s="3"/>
      <c r="C31" s="3"/>
      <c r="D31" s="3"/>
      <c r="E31" s="3"/>
      <c r="F31" s="24"/>
      <c r="I31" s="88" t="s">
        <v>149</v>
      </c>
      <c r="J31" s="74">
        <f>+J32+J34+J36+J39+J43</f>
        <v>8890000</v>
      </c>
      <c r="K31" s="75">
        <v>1</v>
      </c>
      <c r="L31" s="75">
        <v>0</v>
      </c>
      <c r="M31" s="74">
        <f t="shared" ref="M31:U31" si="12">SUM(M32,M34,M36,M39,M43)</f>
        <v>732500</v>
      </c>
      <c r="N31" s="76">
        <v>0</v>
      </c>
      <c r="O31" s="74">
        <f t="shared" si="12"/>
        <v>2437500</v>
      </c>
      <c r="P31" s="76">
        <v>0</v>
      </c>
      <c r="Q31" s="74">
        <f t="shared" si="12"/>
        <v>2245000</v>
      </c>
      <c r="R31" s="76">
        <v>0</v>
      </c>
      <c r="S31" s="74">
        <f t="shared" si="12"/>
        <v>1837500</v>
      </c>
      <c r="T31" s="76">
        <v>0</v>
      </c>
      <c r="U31" s="74">
        <f t="shared" si="12"/>
        <v>1637500</v>
      </c>
      <c r="V31" s="76">
        <v>0</v>
      </c>
      <c r="W31" s="127"/>
      <c r="X31" s="14">
        <f t="shared" si="3"/>
        <v>8890000</v>
      </c>
      <c r="Y31" s="55">
        <f t="shared" si="1"/>
        <v>8890000</v>
      </c>
      <c r="Z31" s="32">
        <f t="shared" si="2"/>
        <v>0</v>
      </c>
    </row>
    <row r="32" spans="2:26" ht="39" customHeight="1" thickBot="1" x14ac:dyDescent="0.25">
      <c r="B32" s="3"/>
      <c r="C32" s="3"/>
      <c r="D32" s="3"/>
      <c r="E32" s="3"/>
      <c r="F32" s="24"/>
      <c r="G32" s="20" t="s">
        <v>99</v>
      </c>
      <c r="I32" s="138" t="s">
        <v>165</v>
      </c>
      <c r="J32" s="77">
        <f>+J33</f>
        <v>275000</v>
      </c>
      <c r="K32" s="78">
        <v>1</v>
      </c>
      <c r="L32" s="78">
        <f t="shared" ref="L32:U32" si="13">+L33</f>
        <v>0</v>
      </c>
      <c r="M32" s="77">
        <f t="shared" si="13"/>
        <v>0</v>
      </c>
      <c r="N32" s="79">
        <v>0</v>
      </c>
      <c r="O32" s="77">
        <f t="shared" si="13"/>
        <v>275000</v>
      </c>
      <c r="P32" s="79">
        <v>0</v>
      </c>
      <c r="Q32" s="77">
        <f t="shared" si="13"/>
        <v>0</v>
      </c>
      <c r="R32" s="79">
        <v>0</v>
      </c>
      <c r="S32" s="77">
        <f t="shared" si="13"/>
        <v>0</v>
      </c>
      <c r="T32" s="79">
        <v>0</v>
      </c>
      <c r="U32" s="77">
        <f t="shared" si="13"/>
        <v>0</v>
      </c>
      <c r="V32" s="79">
        <v>0</v>
      </c>
      <c r="W32" s="125"/>
      <c r="X32" s="14">
        <f t="shared" si="3"/>
        <v>275000</v>
      </c>
      <c r="Y32" s="55">
        <f t="shared" si="1"/>
        <v>275000</v>
      </c>
      <c r="Z32" s="32">
        <f t="shared" si="2"/>
        <v>0</v>
      </c>
    </row>
    <row r="33" spans="2:26" ht="39" customHeight="1" x14ac:dyDescent="0.2">
      <c r="B33" s="3"/>
      <c r="C33" s="3"/>
      <c r="D33" s="3"/>
      <c r="E33" s="3"/>
      <c r="F33" s="23" t="s">
        <v>100</v>
      </c>
      <c r="G33" s="20" t="str">
        <f>F33</f>
        <v>UNIDADES BÁSICAS DE SAÚDE CONSTRUÍDAS E EQUIPADAS Total</v>
      </c>
      <c r="H33" s="50" t="s">
        <v>168</v>
      </c>
      <c r="I33" s="80" t="s">
        <v>164</v>
      </c>
      <c r="J33" s="81">
        <v>275000</v>
      </c>
      <c r="K33" s="82">
        <v>1</v>
      </c>
      <c r="L33" s="82">
        <v>0</v>
      </c>
      <c r="M33" s="81">
        <v>0</v>
      </c>
      <c r="N33" s="83">
        <v>0</v>
      </c>
      <c r="O33" s="81">
        <v>275000</v>
      </c>
      <c r="P33" s="83">
        <v>0</v>
      </c>
      <c r="Q33" s="81">
        <v>0</v>
      </c>
      <c r="R33" s="83">
        <v>0</v>
      </c>
      <c r="S33" s="81">
        <v>0</v>
      </c>
      <c r="T33" s="83">
        <v>0</v>
      </c>
      <c r="U33" s="81">
        <v>0</v>
      </c>
      <c r="V33" s="123">
        <v>0</v>
      </c>
      <c r="W33" s="162" t="s">
        <v>221</v>
      </c>
      <c r="X33" s="14">
        <f t="shared" si="3"/>
        <v>275000</v>
      </c>
      <c r="Y33" s="55">
        <f t="shared" si="1"/>
        <v>275000</v>
      </c>
      <c r="Z33" s="32">
        <f t="shared" si="2"/>
        <v>0</v>
      </c>
    </row>
    <row r="34" spans="2:26" ht="39" customHeight="1" x14ac:dyDescent="0.2">
      <c r="B34" s="3"/>
      <c r="C34" s="3"/>
      <c r="D34" s="3"/>
      <c r="E34" s="3"/>
      <c r="F34" s="24"/>
      <c r="G34" s="20" t="s">
        <v>101</v>
      </c>
      <c r="I34" s="138" t="s">
        <v>190</v>
      </c>
      <c r="J34" s="77">
        <f>+J35</f>
        <v>285000</v>
      </c>
      <c r="K34" s="89"/>
      <c r="L34" s="78">
        <f t="shared" ref="L34:U34" si="14">+L35</f>
        <v>0</v>
      </c>
      <c r="M34" s="77">
        <f t="shared" si="14"/>
        <v>0</v>
      </c>
      <c r="N34" s="79">
        <v>0</v>
      </c>
      <c r="O34" s="77">
        <f t="shared" si="14"/>
        <v>285000</v>
      </c>
      <c r="P34" s="79">
        <v>0</v>
      </c>
      <c r="Q34" s="77">
        <f t="shared" si="14"/>
        <v>0</v>
      </c>
      <c r="R34" s="79">
        <v>0</v>
      </c>
      <c r="S34" s="77">
        <f t="shared" si="14"/>
        <v>0</v>
      </c>
      <c r="T34" s="79">
        <v>0</v>
      </c>
      <c r="U34" s="77">
        <f t="shared" si="14"/>
        <v>0</v>
      </c>
      <c r="V34" s="79">
        <v>0</v>
      </c>
      <c r="W34" s="163"/>
      <c r="X34" s="14">
        <f t="shared" si="3"/>
        <v>285000</v>
      </c>
      <c r="Y34" s="55">
        <f t="shared" si="1"/>
        <v>285000</v>
      </c>
      <c r="Z34" s="32">
        <f t="shared" si="2"/>
        <v>0</v>
      </c>
    </row>
    <row r="35" spans="2:26" ht="39" customHeight="1" x14ac:dyDescent="0.2">
      <c r="B35" s="3"/>
      <c r="C35" s="3"/>
      <c r="D35" s="3"/>
      <c r="E35" s="3"/>
      <c r="F35" s="24"/>
      <c r="G35" s="20" t="s">
        <v>102</v>
      </c>
      <c r="H35" s="50" t="s">
        <v>168</v>
      </c>
      <c r="I35" s="80" t="s">
        <v>150</v>
      </c>
      <c r="J35" s="81">
        <v>285000</v>
      </c>
      <c r="K35" s="82">
        <v>1</v>
      </c>
      <c r="L35" s="82">
        <v>0</v>
      </c>
      <c r="M35" s="81">
        <v>0</v>
      </c>
      <c r="N35" s="83">
        <v>0</v>
      </c>
      <c r="O35" s="81">
        <f>+J35</f>
        <v>285000</v>
      </c>
      <c r="P35" s="83">
        <v>0</v>
      </c>
      <c r="Q35" s="81">
        <v>0</v>
      </c>
      <c r="R35" s="83">
        <v>0</v>
      </c>
      <c r="S35" s="81">
        <f>Plan1!J63</f>
        <v>0</v>
      </c>
      <c r="T35" s="83">
        <v>0</v>
      </c>
      <c r="U35" s="81">
        <f>Plan1!K63</f>
        <v>0</v>
      </c>
      <c r="V35" s="83">
        <v>0</v>
      </c>
      <c r="W35" s="164"/>
      <c r="X35" s="14">
        <f t="shared" si="3"/>
        <v>285000</v>
      </c>
      <c r="Y35" s="55">
        <f t="shared" si="1"/>
        <v>285000</v>
      </c>
      <c r="Z35" s="32">
        <f t="shared" si="2"/>
        <v>0</v>
      </c>
    </row>
    <row r="36" spans="2:26" ht="39" customHeight="1" thickBot="1" x14ac:dyDescent="0.25">
      <c r="B36" s="3"/>
      <c r="C36" s="3"/>
      <c r="D36" s="3"/>
      <c r="E36" s="3"/>
      <c r="F36" s="24"/>
      <c r="G36" s="20" t="s">
        <v>103</v>
      </c>
      <c r="I36" s="138" t="s">
        <v>151</v>
      </c>
      <c r="J36" s="77">
        <f>+J37+J38</f>
        <v>435000</v>
      </c>
      <c r="K36" s="89"/>
      <c r="L36" s="78">
        <f t="shared" ref="L36:U36" si="15">+L37+L38</f>
        <v>0</v>
      </c>
      <c r="M36" s="77">
        <f t="shared" si="15"/>
        <v>110000</v>
      </c>
      <c r="N36" s="79">
        <v>0</v>
      </c>
      <c r="O36" s="77">
        <f t="shared" si="15"/>
        <v>217500</v>
      </c>
      <c r="P36" s="79">
        <v>0</v>
      </c>
      <c r="Q36" s="77">
        <f t="shared" si="15"/>
        <v>107500</v>
      </c>
      <c r="R36" s="79">
        <v>0</v>
      </c>
      <c r="S36" s="77">
        <f t="shared" si="15"/>
        <v>0</v>
      </c>
      <c r="T36" s="79">
        <v>0</v>
      </c>
      <c r="U36" s="77">
        <f t="shared" si="15"/>
        <v>0</v>
      </c>
      <c r="V36" s="79">
        <v>0</v>
      </c>
      <c r="W36" s="125"/>
      <c r="X36" s="14">
        <f t="shared" si="3"/>
        <v>435000</v>
      </c>
      <c r="Y36" s="55">
        <f t="shared" si="1"/>
        <v>435000</v>
      </c>
      <c r="Z36" s="32">
        <f t="shared" si="2"/>
        <v>0</v>
      </c>
    </row>
    <row r="37" spans="2:26" s="37" customFormat="1" ht="39" customHeight="1" x14ac:dyDescent="0.2">
      <c r="H37" s="48" t="s">
        <v>169</v>
      </c>
      <c r="I37" s="80" t="s">
        <v>158</v>
      </c>
      <c r="J37" s="90">
        <v>220000</v>
      </c>
      <c r="K37" s="91">
        <v>1</v>
      </c>
      <c r="L37" s="91">
        <v>0</v>
      </c>
      <c r="M37" s="90">
        <f>+J37*0.5</f>
        <v>110000</v>
      </c>
      <c r="N37" s="92">
        <v>0</v>
      </c>
      <c r="O37" s="90">
        <f>+J37*0.5</f>
        <v>110000</v>
      </c>
      <c r="P37" s="92">
        <v>0</v>
      </c>
      <c r="Q37" s="90">
        <v>0</v>
      </c>
      <c r="R37" s="92">
        <v>0</v>
      </c>
      <c r="S37" s="90">
        <v>0</v>
      </c>
      <c r="T37" s="92">
        <v>0</v>
      </c>
      <c r="U37" s="90">
        <v>0</v>
      </c>
      <c r="V37" s="131">
        <v>0</v>
      </c>
      <c r="W37" s="160" t="s">
        <v>203</v>
      </c>
      <c r="X37" s="14">
        <f t="shared" si="3"/>
        <v>220000</v>
      </c>
      <c r="Y37" s="55">
        <f t="shared" si="1"/>
        <v>220000</v>
      </c>
      <c r="Z37" s="32">
        <f t="shared" si="2"/>
        <v>0</v>
      </c>
    </row>
    <row r="38" spans="2:26" s="37" customFormat="1" ht="39" customHeight="1" thickBot="1" x14ac:dyDescent="0.25">
      <c r="H38" s="48" t="s">
        <v>169</v>
      </c>
      <c r="I38" s="80" t="s">
        <v>159</v>
      </c>
      <c r="J38" s="90">
        <v>215000</v>
      </c>
      <c r="K38" s="91">
        <v>1</v>
      </c>
      <c r="L38" s="91">
        <v>0</v>
      </c>
      <c r="M38" s="90">
        <v>0</v>
      </c>
      <c r="N38" s="92">
        <v>0</v>
      </c>
      <c r="O38" s="90">
        <f>+J$38*0.5</f>
        <v>107500</v>
      </c>
      <c r="P38" s="92">
        <v>0</v>
      </c>
      <c r="Q38" s="90">
        <f>+J38*0.5</f>
        <v>107500</v>
      </c>
      <c r="R38" s="92">
        <v>0</v>
      </c>
      <c r="S38" s="90">
        <v>0</v>
      </c>
      <c r="T38" s="92">
        <v>0</v>
      </c>
      <c r="U38" s="90">
        <v>0</v>
      </c>
      <c r="V38" s="131">
        <v>0</v>
      </c>
      <c r="W38" s="161"/>
      <c r="X38" s="14">
        <f t="shared" si="3"/>
        <v>215000</v>
      </c>
      <c r="Y38" s="55">
        <f t="shared" si="1"/>
        <v>215000</v>
      </c>
      <c r="Z38" s="32">
        <f t="shared" si="2"/>
        <v>0</v>
      </c>
    </row>
    <row r="39" spans="2:26" ht="39" customHeight="1" thickBot="1" x14ac:dyDescent="0.25">
      <c r="B39" s="3"/>
      <c r="C39" s="3"/>
      <c r="D39" s="3"/>
      <c r="E39" s="3"/>
      <c r="F39" s="24"/>
      <c r="G39" s="20" t="s">
        <v>103</v>
      </c>
      <c r="I39" s="138" t="s">
        <v>152</v>
      </c>
      <c r="J39" s="77">
        <f>SUM(J40:J42)</f>
        <v>7195000</v>
      </c>
      <c r="K39" s="78">
        <v>1</v>
      </c>
      <c r="L39" s="78">
        <f t="shared" ref="L39" si="16">+L40</f>
        <v>0</v>
      </c>
      <c r="M39" s="77">
        <f t="shared" ref="M39" si="17">SUM(M40:M42)</f>
        <v>622500</v>
      </c>
      <c r="N39" s="79">
        <v>0</v>
      </c>
      <c r="O39" s="77">
        <f t="shared" ref="O39" si="18">SUM(O40:O42)</f>
        <v>1510000</v>
      </c>
      <c r="P39" s="79">
        <v>0</v>
      </c>
      <c r="Q39" s="77">
        <f t="shared" ref="Q39" si="19">SUM(Q40:Q42)</f>
        <v>1787500</v>
      </c>
      <c r="R39" s="79">
        <v>0</v>
      </c>
      <c r="S39" s="77">
        <f t="shared" ref="S39" si="20">SUM(S40:S42)</f>
        <v>1637500</v>
      </c>
      <c r="T39" s="79">
        <v>0</v>
      </c>
      <c r="U39" s="77">
        <f t="shared" ref="U39" si="21">SUM(U40:U42)</f>
        <v>1637500</v>
      </c>
      <c r="V39" s="79">
        <v>0</v>
      </c>
      <c r="W39" s="126"/>
      <c r="X39" s="14">
        <f t="shared" si="3"/>
        <v>7195000</v>
      </c>
      <c r="Y39" s="55">
        <f t="shared" si="1"/>
        <v>7195000</v>
      </c>
      <c r="Z39" s="32">
        <f t="shared" si="2"/>
        <v>0</v>
      </c>
    </row>
    <row r="40" spans="2:26" ht="39" customHeight="1" thickBot="1" x14ac:dyDescent="0.25">
      <c r="B40" s="3"/>
      <c r="C40" s="3"/>
      <c r="D40" s="3"/>
      <c r="E40" s="3"/>
      <c r="F40" s="24"/>
      <c r="G40" s="20" t="s">
        <v>104</v>
      </c>
      <c r="H40" s="50" t="s">
        <v>168</v>
      </c>
      <c r="I40" s="93" t="s">
        <v>167</v>
      </c>
      <c r="J40" s="81">
        <v>145000</v>
      </c>
      <c r="K40" s="82">
        <v>1</v>
      </c>
      <c r="L40" s="82">
        <v>0</v>
      </c>
      <c r="M40" s="81">
        <f>+J40</f>
        <v>145000</v>
      </c>
      <c r="N40" s="83">
        <v>0</v>
      </c>
      <c r="O40" s="81">
        <v>0</v>
      </c>
      <c r="P40" s="83">
        <v>0</v>
      </c>
      <c r="Q40" s="81">
        <v>0</v>
      </c>
      <c r="R40" s="83">
        <v>0</v>
      </c>
      <c r="S40" s="81">
        <v>0</v>
      </c>
      <c r="T40" s="83">
        <v>0</v>
      </c>
      <c r="U40" s="81">
        <v>0</v>
      </c>
      <c r="V40" s="123">
        <v>0</v>
      </c>
      <c r="W40" s="130" t="s">
        <v>204</v>
      </c>
      <c r="X40" s="14">
        <f t="shared" si="3"/>
        <v>145000</v>
      </c>
      <c r="Y40" s="55">
        <f t="shared" si="1"/>
        <v>145000</v>
      </c>
      <c r="Z40" s="32">
        <f t="shared" si="2"/>
        <v>0</v>
      </c>
    </row>
    <row r="41" spans="2:26" ht="39" customHeight="1" thickBot="1" x14ac:dyDescent="0.25">
      <c r="B41" s="3"/>
      <c r="C41" s="3"/>
      <c r="D41" s="3"/>
      <c r="E41" s="3"/>
      <c r="F41" s="24"/>
      <c r="H41" s="194" t="s">
        <v>168</v>
      </c>
      <c r="I41" s="94" t="s">
        <v>184</v>
      </c>
      <c r="J41" s="95">
        <v>500000</v>
      </c>
      <c r="K41" s="82"/>
      <c r="L41" s="82"/>
      <c r="M41" s="81">
        <v>150000</v>
      </c>
      <c r="N41" s="83">
        <v>0</v>
      </c>
      <c r="O41" s="81">
        <v>200000</v>
      </c>
      <c r="P41" s="83">
        <v>0</v>
      </c>
      <c r="Q41" s="81">
        <v>150000</v>
      </c>
      <c r="R41" s="83">
        <v>0</v>
      </c>
      <c r="S41" s="81"/>
      <c r="T41" s="83">
        <v>0</v>
      </c>
      <c r="U41" s="81"/>
      <c r="V41" s="83">
        <v>0</v>
      </c>
      <c r="W41" s="126"/>
      <c r="X41" s="14"/>
      <c r="Y41" s="55">
        <f t="shared" si="1"/>
        <v>500000</v>
      </c>
      <c r="Z41" s="32">
        <f t="shared" si="2"/>
        <v>0</v>
      </c>
    </row>
    <row r="42" spans="2:26" ht="39" customHeight="1" thickBot="1" x14ac:dyDescent="0.25">
      <c r="B42" s="3"/>
      <c r="C42" s="3"/>
      <c r="D42" s="3"/>
      <c r="E42" s="3"/>
      <c r="F42" s="24"/>
      <c r="H42" s="47" t="s">
        <v>169</v>
      </c>
      <c r="I42" s="93" t="s">
        <v>166</v>
      </c>
      <c r="J42" s="95">
        <v>6550000</v>
      </c>
      <c r="K42" s="82">
        <v>1</v>
      </c>
      <c r="L42" s="82">
        <v>0</v>
      </c>
      <c r="M42" s="81">
        <f>+J42*0.05</f>
        <v>327500</v>
      </c>
      <c r="N42" s="83">
        <v>0</v>
      </c>
      <c r="O42" s="81">
        <f>+$J42*0.2</f>
        <v>1310000</v>
      </c>
      <c r="P42" s="83">
        <v>0</v>
      </c>
      <c r="Q42" s="81">
        <f t="shared" ref="Q42:S42" si="22">+$J42*0.25</f>
        <v>1637500</v>
      </c>
      <c r="R42" s="83">
        <v>0</v>
      </c>
      <c r="S42" s="81">
        <f t="shared" si="22"/>
        <v>1637500</v>
      </c>
      <c r="T42" s="83">
        <v>0</v>
      </c>
      <c r="U42" s="81">
        <f>+$J42*0.25</f>
        <v>1637500</v>
      </c>
      <c r="V42" s="123">
        <v>0</v>
      </c>
      <c r="W42" s="130" t="s">
        <v>205</v>
      </c>
      <c r="X42" s="14">
        <f t="shared" si="3"/>
        <v>6550000</v>
      </c>
      <c r="Y42" s="55">
        <f t="shared" si="1"/>
        <v>6550000</v>
      </c>
      <c r="Z42" s="32">
        <f t="shared" si="2"/>
        <v>0</v>
      </c>
    </row>
    <row r="43" spans="2:26" ht="39" customHeight="1" x14ac:dyDescent="0.2">
      <c r="B43" s="3"/>
      <c r="C43" s="3"/>
      <c r="D43" s="3"/>
      <c r="E43" s="3"/>
      <c r="F43" s="24"/>
      <c r="H43" s="50" t="s">
        <v>168</v>
      </c>
      <c r="I43" s="138" t="s">
        <v>192</v>
      </c>
      <c r="J43" s="77">
        <f>SUM(J44)</f>
        <v>700000</v>
      </c>
      <c r="K43" s="78">
        <v>1</v>
      </c>
      <c r="L43" s="78">
        <v>0</v>
      </c>
      <c r="M43" s="77">
        <f t="shared" ref="M43:U43" si="23">SUM(M44)</f>
        <v>0</v>
      </c>
      <c r="N43" s="79">
        <v>0</v>
      </c>
      <c r="O43" s="77">
        <f t="shared" si="23"/>
        <v>150000</v>
      </c>
      <c r="P43" s="79">
        <v>0</v>
      </c>
      <c r="Q43" s="77">
        <f t="shared" si="23"/>
        <v>350000</v>
      </c>
      <c r="R43" s="79">
        <v>0</v>
      </c>
      <c r="S43" s="77">
        <f t="shared" si="23"/>
        <v>200000</v>
      </c>
      <c r="T43" s="79">
        <v>0</v>
      </c>
      <c r="U43" s="77">
        <f t="shared" si="23"/>
        <v>0</v>
      </c>
      <c r="V43" s="79">
        <v>0</v>
      </c>
      <c r="W43" s="127"/>
      <c r="X43" s="14">
        <f t="shared" si="3"/>
        <v>700000</v>
      </c>
      <c r="Y43" s="55">
        <f t="shared" si="1"/>
        <v>700000</v>
      </c>
      <c r="Z43" s="32">
        <f t="shared" si="2"/>
        <v>0</v>
      </c>
    </row>
    <row r="44" spans="2:26" ht="39" customHeight="1" x14ac:dyDescent="0.2">
      <c r="B44" s="3"/>
      <c r="C44" s="3"/>
      <c r="D44" s="3"/>
      <c r="E44" s="3"/>
      <c r="F44" s="24"/>
      <c r="H44" s="50" t="s">
        <v>168</v>
      </c>
      <c r="I44" s="93" t="s">
        <v>193</v>
      </c>
      <c r="J44" s="95">
        <v>700000</v>
      </c>
      <c r="K44" s="85">
        <v>1</v>
      </c>
      <c r="L44" s="85">
        <v>0</v>
      </c>
      <c r="M44" s="84">
        <v>0</v>
      </c>
      <c r="N44" s="86">
        <v>0</v>
      </c>
      <c r="O44" s="84">
        <v>150000</v>
      </c>
      <c r="P44" s="86">
        <v>0</v>
      </c>
      <c r="Q44" s="84">
        <v>350000</v>
      </c>
      <c r="R44" s="86">
        <v>0</v>
      </c>
      <c r="S44" s="84">
        <v>200000</v>
      </c>
      <c r="T44" s="86">
        <v>0</v>
      </c>
      <c r="U44" s="84">
        <v>0</v>
      </c>
      <c r="V44" s="86">
        <v>0</v>
      </c>
      <c r="W44" s="128"/>
      <c r="X44" s="14"/>
      <c r="Y44" s="55">
        <f t="shared" si="1"/>
        <v>700000</v>
      </c>
      <c r="Z44" s="32">
        <f t="shared" si="2"/>
        <v>0</v>
      </c>
    </row>
    <row r="45" spans="2:26" ht="39.950000000000003" customHeight="1" x14ac:dyDescent="0.2">
      <c r="B45" s="3"/>
      <c r="C45" s="3"/>
      <c r="D45" s="3"/>
      <c r="E45" s="3"/>
      <c r="F45" s="24"/>
      <c r="I45" s="88" t="s">
        <v>161</v>
      </c>
      <c r="J45" s="74">
        <f>SUM(J46,J48)</f>
        <v>6000000</v>
      </c>
      <c r="K45" s="75">
        <v>1</v>
      </c>
      <c r="L45" s="75">
        <f t="shared" ref="L45:U45" si="24">+L46+L48</f>
        <v>0</v>
      </c>
      <c r="M45" s="74">
        <f t="shared" si="24"/>
        <v>0</v>
      </c>
      <c r="N45" s="76">
        <v>0</v>
      </c>
      <c r="O45" s="74">
        <f t="shared" si="24"/>
        <v>1440000</v>
      </c>
      <c r="P45" s="76">
        <v>0</v>
      </c>
      <c r="Q45" s="74">
        <f t="shared" si="24"/>
        <v>1567500.0000000002</v>
      </c>
      <c r="R45" s="76">
        <v>0</v>
      </c>
      <c r="S45" s="74">
        <f t="shared" si="24"/>
        <v>1567500.0000000002</v>
      </c>
      <c r="T45" s="76">
        <v>0</v>
      </c>
      <c r="U45" s="74">
        <f t="shared" si="24"/>
        <v>1425000</v>
      </c>
      <c r="V45" s="76">
        <v>0</v>
      </c>
      <c r="W45" s="128"/>
      <c r="X45" s="14">
        <f t="shared" si="3"/>
        <v>6000000</v>
      </c>
      <c r="Y45" s="55">
        <f t="shared" si="1"/>
        <v>6000000</v>
      </c>
      <c r="Z45" s="32">
        <f t="shared" si="2"/>
        <v>0</v>
      </c>
    </row>
    <row r="46" spans="2:26" ht="39" customHeight="1" thickBot="1" x14ac:dyDescent="0.25">
      <c r="B46" s="3"/>
      <c r="C46" s="3"/>
      <c r="D46" s="3"/>
      <c r="E46" s="3"/>
      <c r="F46" s="24"/>
      <c r="G46" s="20" t="s">
        <v>99</v>
      </c>
      <c r="I46" s="138" t="s">
        <v>187</v>
      </c>
      <c r="J46" s="77">
        <f>+J47</f>
        <v>5700000</v>
      </c>
      <c r="K46" s="78">
        <v>1</v>
      </c>
      <c r="L46" s="78">
        <f t="shared" ref="L46:U46" si="25">+L47</f>
        <v>0</v>
      </c>
      <c r="M46" s="77">
        <f t="shared" si="25"/>
        <v>0</v>
      </c>
      <c r="N46" s="79">
        <v>0</v>
      </c>
      <c r="O46" s="77">
        <f t="shared" si="25"/>
        <v>1140000</v>
      </c>
      <c r="P46" s="79">
        <v>0</v>
      </c>
      <c r="Q46" s="77">
        <f t="shared" si="25"/>
        <v>1567500.0000000002</v>
      </c>
      <c r="R46" s="79">
        <v>0</v>
      </c>
      <c r="S46" s="77">
        <f t="shared" si="25"/>
        <v>1567500.0000000002</v>
      </c>
      <c r="T46" s="79">
        <v>0</v>
      </c>
      <c r="U46" s="77">
        <f t="shared" si="25"/>
        <v>1425000</v>
      </c>
      <c r="V46" s="79">
        <v>0</v>
      </c>
      <c r="W46" s="125"/>
      <c r="X46" s="14">
        <f t="shared" si="3"/>
        <v>5700000</v>
      </c>
      <c r="Y46" s="55">
        <f t="shared" si="1"/>
        <v>5700000</v>
      </c>
      <c r="Z46" s="32">
        <f t="shared" si="2"/>
        <v>0</v>
      </c>
    </row>
    <row r="47" spans="2:26" ht="39" customHeight="1" thickBot="1" x14ac:dyDescent="0.25">
      <c r="B47" s="3"/>
      <c r="C47" s="3"/>
      <c r="D47" s="3"/>
      <c r="E47" s="3"/>
      <c r="F47" s="23" t="s">
        <v>100</v>
      </c>
      <c r="G47" s="20" t="str">
        <f>F47</f>
        <v>UNIDADES BÁSICAS DE SAÚDE CONSTRUÍDAS E EQUIPADAS Total</v>
      </c>
      <c r="H47" s="51" t="s">
        <v>170</v>
      </c>
      <c r="I47" s="80" t="s">
        <v>206</v>
      </c>
      <c r="J47" s="95">
        <v>5700000</v>
      </c>
      <c r="K47" s="82">
        <v>1</v>
      </c>
      <c r="L47" s="82">
        <v>0</v>
      </c>
      <c r="M47" s="81">
        <v>0</v>
      </c>
      <c r="N47" s="83">
        <v>0</v>
      </c>
      <c r="O47" s="81">
        <f>+$J47*0.2</f>
        <v>1140000</v>
      </c>
      <c r="P47" s="83">
        <v>0</v>
      </c>
      <c r="Q47" s="81">
        <f>+$J47*0.275</f>
        <v>1567500.0000000002</v>
      </c>
      <c r="R47" s="83">
        <v>0</v>
      </c>
      <c r="S47" s="81">
        <f>+$J47*0.275</f>
        <v>1567500.0000000002</v>
      </c>
      <c r="T47" s="83">
        <v>0</v>
      </c>
      <c r="U47" s="81">
        <f t="shared" ref="U47" si="26">+$J47*0.25</f>
        <v>1425000</v>
      </c>
      <c r="V47" s="123">
        <v>0</v>
      </c>
      <c r="W47" s="130" t="s">
        <v>211</v>
      </c>
      <c r="X47" s="14">
        <f t="shared" si="3"/>
        <v>5700000</v>
      </c>
      <c r="Y47" s="55">
        <f t="shared" si="1"/>
        <v>5700000</v>
      </c>
      <c r="Z47" s="32">
        <f t="shared" si="2"/>
        <v>0</v>
      </c>
    </row>
    <row r="48" spans="2:26" ht="39" customHeight="1" x14ac:dyDescent="0.2">
      <c r="B48" s="3"/>
      <c r="C48" s="3"/>
      <c r="D48" s="3"/>
      <c r="E48" s="3"/>
      <c r="F48" s="24"/>
      <c r="G48" s="20" t="s">
        <v>101</v>
      </c>
      <c r="I48" s="138" t="s">
        <v>194</v>
      </c>
      <c r="J48" s="77">
        <f>SUM(J49)</f>
        <v>300000</v>
      </c>
      <c r="K48" s="78">
        <v>1</v>
      </c>
      <c r="L48" s="78">
        <f t="shared" ref="L48" si="27">+L49</f>
        <v>0</v>
      </c>
      <c r="M48" s="77">
        <f t="shared" ref="M48:U48" si="28">SUM(M49)</f>
        <v>0</v>
      </c>
      <c r="N48" s="79">
        <v>0</v>
      </c>
      <c r="O48" s="77">
        <f t="shared" si="28"/>
        <v>300000</v>
      </c>
      <c r="P48" s="79">
        <v>0</v>
      </c>
      <c r="Q48" s="77">
        <f t="shared" si="28"/>
        <v>0</v>
      </c>
      <c r="R48" s="79">
        <v>0</v>
      </c>
      <c r="S48" s="77">
        <f t="shared" si="28"/>
        <v>0</v>
      </c>
      <c r="T48" s="79">
        <v>0</v>
      </c>
      <c r="U48" s="77">
        <f t="shared" si="28"/>
        <v>0</v>
      </c>
      <c r="V48" s="79">
        <v>0</v>
      </c>
      <c r="W48" s="127"/>
      <c r="X48" s="14">
        <f t="shared" si="3"/>
        <v>300000</v>
      </c>
      <c r="Y48" s="55">
        <f t="shared" si="1"/>
        <v>300000</v>
      </c>
      <c r="Z48" s="32">
        <f t="shared" si="2"/>
        <v>0</v>
      </c>
    </row>
    <row r="49" spans="2:237" ht="39" customHeight="1" x14ac:dyDescent="0.2">
      <c r="B49" s="3"/>
      <c r="C49" s="3"/>
      <c r="D49" s="3"/>
      <c r="E49" s="3"/>
      <c r="F49" s="24"/>
      <c r="G49" s="20" t="s">
        <v>102</v>
      </c>
      <c r="H49" s="51" t="s">
        <v>170</v>
      </c>
      <c r="I49" s="80" t="s">
        <v>207</v>
      </c>
      <c r="J49" s="81">
        <v>300000</v>
      </c>
      <c r="K49" s="82">
        <v>1</v>
      </c>
      <c r="L49" s="82">
        <v>0</v>
      </c>
      <c r="M49" s="81"/>
      <c r="N49" s="83">
        <v>0</v>
      </c>
      <c r="O49" s="81">
        <v>300000</v>
      </c>
      <c r="P49" s="83">
        <v>0</v>
      </c>
      <c r="Q49" s="81">
        <v>0</v>
      </c>
      <c r="R49" s="83">
        <v>0</v>
      </c>
      <c r="S49" s="81">
        <f>Plan1!J79</f>
        <v>0</v>
      </c>
      <c r="T49" s="83">
        <v>0</v>
      </c>
      <c r="U49" s="81">
        <f>Plan1!K79</f>
        <v>0</v>
      </c>
      <c r="V49" s="83">
        <v>0</v>
      </c>
      <c r="W49" s="128"/>
      <c r="X49" s="14">
        <f t="shared" si="3"/>
        <v>300000</v>
      </c>
      <c r="Y49" s="55">
        <f t="shared" si="1"/>
        <v>300000</v>
      </c>
      <c r="Z49" s="32">
        <f t="shared" si="2"/>
        <v>0</v>
      </c>
    </row>
    <row r="50" spans="2:237" ht="39.950000000000003" customHeight="1" x14ac:dyDescent="0.2">
      <c r="B50" s="3"/>
      <c r="C50" s="3"/>
      <c r="D50" s="3"/>
      <c r="E50" s="3"/>
      <c r="F50" s="24"/>
      <c r="I50" s="88" t="s">
        <v>162</v>
      </c>
      <c r="J50" s="74">
        <f>+J51+J55+J57</f>
        <v>1830000</v>
      </c>
      <c r="K50" s="75">
        <v>1</v>
      </c>
      <c r="L50" s="75">
        <f t="shared" ref="L50:U50" si="29">+L51+L55+L57</f>
        <v>0</v>
      </c>
      <c r="M50" s="74">
        <f t="shared" si="29"/>
        <v>180000</v>
      </c>
      <c r="N50" s="76">
        <v>0</v>
      </c>
      <c r="O50" s="74">
        <f t="shared" si="29"/>
        <v>300000</v>
      </c>
      <c r="P50" s="76">
        <v>0</v>
      </c>
      <c r="Q50" s="74">
        <f t="shared" si="29"/>
        <v>520000</v>
      </c>
      <c r="R50" s="76">
        <v>0</v>
      </c>
      <c r="S50" s="74">
        <f t="shared" si="29"/>
        <v>515000</v>
      </c>
      <c r="T50" s="76">
        <v>0</v>
      </c>
      <c r="U50" s="74">
        <f t="shared" si="29"/>
        <v>315000</v>
      </c>
      <c r="V50" s="76">
        <v>0</v>
      </c>
      <c r="W50" s="128"/>
      <c r="X50" s="14">
        <f t="shared" si="3"/>
        <v>1830000</v>
      </c>
      <c r="Y50" s="55">
        <f t="shared" si="1"/>
        <v>1830000</v>
      </c>
      <c r="Z50" s="32">
        <f t="shared" si="2"/>
        <v>0</v>
      </c>
    </row>
    <row r="51" spans="2:237" ht="39" customHeight="1" thickBot="1" x14ac:dyDescent="0.25">
      <c r="B51" s="3"/>
      <c r="C51" s="3"/>
      <c r="D51" s="3"/>
      <c r="E51" s="3"/>
      <c r="F51" s="24"/>
      <c r="G51" s="20" t="s">
        <v>99</v>
      </c>
      <c r="I51" s="138" t="s">
        <v>188</v>
      </c>
      <c r="J51" s="139">
        <f>SUM(J52:J54)</f>
        <v>1200000</v>
      </c>
      <c r="K51" s="141">
        <v>1</v>
      </c>
      <c r="L51" s="141">
        <f>+L52+L54</f>
        <v>0</v>
      </c>
      <c r="M51" s="139">
        <f t="shared" ref="M51:U51" si="30">SUM(M52:M54)</f>
        <v>180000</v>
      </c>
      <c r="N51" s="140">
        <v>0</v>
      </c>
      <c r="O51" s="139">
        <f t="shared" si="30"/>
        <v>300000</v>
      </c>
      <c r="P51" s="140">
        <v>0</v>
      </c>
      <c r="Q51" s="139">
        <f t="shared" si="30"/>
        <v>520000</v>
      </c>
      <c r="R51" s="140">
        <v>0</v>
      </c>
      <c r="S51" s="139">
        <f t="shared" si="30"/>
        <v>200000</v>
      </c>
      <c r="T51" s="140">
        <v>0</v>
      </c>
      <c r="U51" s="139">
        <f t="shared" si="30"/>
        <v>0</v>
      </c>
      <c r="V51" s="140">
        <v>0</v>
      </c>
      <c r="W51" s="125"/>
      <c r="X51" s="14">
        <f t="shared" si="3"/>
        <v>1200000</v>
      </c>
      <c r="Y51" s="55">
        <f t="shared" si="1"/>
        <v>1200000</v>
      </c>
      <c r="Z51" s="32">
        <f t="shared" si="2"/>
        <v>0</v>
      </c>
    </row>
    <row r="52" spans="2:237" ht="39" customHeight="1" x14ac:dyDescent="0.2">
      <c r="B52" s="3"/>
      <c r="C52" s="3"/>
      <c r="D52" s="3"/>
      <c r="E52" s="3"/>
      <c r="F52" s="41"/>
      <c r="H52" s="50" t="s">
        <v>168</v>
      </c>
      <c r="I52" s="96" t="s">
        <v>191</v>
      </c>
      <c r="J52" s="95">
        <v>400000</v>
      </c>
      <c r="K52" s="85">
        <v>1</v>
      </c>
      <c r="L52" s="85">
        <v>0</v>
      </c>
      <c r="M52" s="84">
        <v>0</v>
      </c>
      <c r="N52" s="86">
        <v>0</v>
      </c>
      <c r="O52" s="84">
        <v>0</v>
      </c>
      <c r="P52" s="86">
        <v>0</v>
      </c>
      <c r="Q52" s="84">
        <v>200000</v>
      </c>
      <c r="R52" s="86">
        <v>0</v>
      </c>
      <c r="S52" s="84">
        <v>200000</v>
      </c>
      <c r="T52" s="86">
        <v>0</v>
      </c>
      <c r="U52" s="84">
        <v>0</v>
      </c>
      <c r="V52" s="124">
        <v>0</v>
      </c>
      <c r="W52" s="165" t="s">
        <v>208</v>
      </c>
      <c r="X52" s="14">
        <f t="shared" si="3"/>
        <v>400000</v>
      </c>
      <c r="Y52" s="55">
        <f t="shared" si="1"/>
        <v>400000</v>
      </c>
      <c r="Z52" s="32">
        <f t="shared" si="2"/>
        <v>0</v>
      </c>
    </row>
    <row r="53" spans="2:237" ht="39" customHeight="1" x14ac:dyDescent="0.2">
      <c r="B53" s="3"/>
      <c r="C53" s="3"/>
      <c r="D53" s="3"/>
      <c r="E53" s="3"/>
      <c r="F53" s="23" t="s">
        <v>100</v>
      </c>
      <c r="G53" s="20" t="str">
        <f>F53</f>
        <v>UNIDADES BÁSICAS DE SAÚDE CONSTRUÍDAS E EQUIPADAS Total</v>
      </c>
      <c r="H53" s="50" t="s">
        <v>168</v>
      </c>
      <c r="I53" s="96" t="s">
        <v>185</v>
      </c>
      <c r="J53" s="84">
        <v>200000</v>
      </c>
      <c r="K53" s="85">
        <v>1</v>
      </c>
      <c r="L53" s="85">
        <v>0</v>
      </c>
      <c r="M53" s="84"/>
      <c r="N53" s="86">
        <v>0</v>
      </c>
      <c r="O53" s="84"/>
      <c r="P53" s="86">
        <v>0</v>
      </c>
      <c r="Q53" s="84">
        <v>200000</v>
      </c>
      <c r="R53" s="86">
        <v>0</v>
      </c>
      <c r="S53" s="84"/>
      <c r="T53" s="86">
        <v>0</v>
      </c>
      <c r="U53" s="84"/>
      <c r="V53" s="124">
        <v>0</v>
      </c>
      <c r="W53" s="166"/>
      <c r="X53" s="14">
        <f t="shared" si="3"/>
        <v>200000</v>
      </c>
      <c r="Y53" s="55">
        <f t="shared" si="1"/>
        <v>200000</v>
      </c>
      <c r="Z53" s="32">
        <f t="shared" si="2"/>
        <v>0</v>
      </c>
    </row>
    <row r="54" spans="2:237" ht="39" customHeight="1" thickBot="1" x14ac:dyDescent="0.25">
      <c r="B54" s="3"/>
      <c r="C54" s="3"/>
      <c r="D54" s="3"/>
      <c r="E54" s="3"/>
      <c r="F54" s="41"/>
      <c r="H54" s="50" t="s">
        <v>168</v>
      </c>
      <c r="I54" s="96" t="s">
        <v>186</v>
      </c>
      <c r="J54" s="84">
        <v>600000</v>
      </c>
      <c r="K54" s="85">
        <v>1</v>
      </c>
      <c r="L54" s="85">
        <v>0</v>
      </c>
      <c r="M54" s="84">
        <v>180000</v>
      </c>
      <c r="N54" s="86">
        <v>0</v>
      </c>
      <c r="O54" s="84">
        <v>300000</v>
      </c>
      <c r="P54" s="86">
        <v>0</v>
      </c>
      <c r="Q54" s="84">
        <v>120000</v>
      </c>
      <c r="R54" s="86">
        <v>0</v>
      </c>
      <c r="S54" s="84">
        <v>0</v>
      </c>
      <c r="T54" s="86">
        <v>0</v>
      </c>
      <c r="U54" s="84">
        <f>+$J54*0</f>
        <v>0</v>
      </c>
      <c r="V54" s="124">
        <v>0</v>
      </c>
      <c r="W54" s="167"/>
      <c r="X54" s="14"/>
      <c r="Y54" s="55">
        <f t="shared" si="1"/>
        <v>600000</v>
      </c>
      <c r="Z54" s="32">
        <f t="shared" si="2"/>
        <v>0</v>
      </c>
    </row>
    <row r="55" spans="2:237" ht="39" customHeight="1" x14ac:dyDescent="0.2">
      <c r="B55" s="3"/>
      <c r="C55" s="3"/>
      <c r="D55" s="3"/>
      <c r="E55" s="3"/>
      <c r="F55" s="24"/>
      <c r="G55" s="20" t="s">
        <v>101</v>
      </c>
      <c r="I55" s="138" t="s">
        <v>196</v>
      </c>
      <c r="J55" s="77">
        <f>+J56</f>
        <v>600000</v>
      </c>
      <c r="K55" s="78">
        <v>1</v>
      </c>
      <c r="L55" s="78">
        <f t="shared" ref="L55:U55" si="31">+L56</f>
        <v>0</v>
      </c>
      <c r="M55" s="77">
        <f t="shared" si="31"/>
        <v>0</v>
      </c>
      <c r="N55" s="79">
        <v>0</v>
      </c>
      <c r="O55" s="77">
        <f t="shared" si="31"/>
        <v>0</v>
      </c>
      <c r="P55" s="79">
        <v>0</v>
      </c>
      <c r="Q55" s="77">
        <f t="shared" si="31"/>
        <v>0</v>
      </c>
      <c r="R55" s="79">
        <v>0</v>
      </c>
      <c r="S55" s="77">
        <f t="shared" si="31"/>
        <v>300000</v>
      </c>
      <c r="T55" s="79">
        <v>0</v>
      </c>
      <c r="U55" s="77">
        <f t="shared" si="31"/>
        <v>300000</v>
      </c>
      <c r="V55" s="79">
        <v>0</v>
      </c>
      <c r="W55" s="127"/>
      <c r="X55" s="14">
        <f t="shared" si="3"/>
        <v>600000</v>
      </c>
      <c r="Y55" s="55">
        <f t="shared" si="1"/>
        <v>600000</v>
      </c>
      <c r="Z55" s="32">
        <f t="shared" si="2"/>
        <v>0</v>
      </c>
    </row>
    <row r="56" spans="2:237" ht="39" customHeight="1" x14ac:dyDescent="0.2">
      <c r="B56" s="3"/>
      <c r="C56" s="3"/>
      <c r="D56" s="3"/>
      <c r="E56" s="3"/>
      <c r="F56" s="24"/>
      <c r="G56" s="20" t="s">
        <v>102</v>
      </c>
      <c r="H56" s="50" t="s">
        <v>168</v>
      </c>
      <c r="I56" s="80" t="s">
        <v>195</v>
      </c>
      <c r="J56" s="95">
        <v>600000</v>
      </c>
      <c r="K56" s="82">
        <v>1</v>
      </c>
      <c r="L56" s="82">
        <v>0</v>
      </c>
      <c r="M56" s="81">
        <f>Plan1!G87</f>
        <v>0</v>
      </c>
      <c r="N56" s="83">
        <v>0</v>
      </c>
      <c r="O56" s="81">
        <f>Plan1!H87</f>
        <v>0</v>
      </c>
      <c r="P56" s="83">
        <v>0</v>
      </c>
      <c r="Q56" s="81">
        <v>0</v>
      </c>
      <c r="R56" s="83">
        <v>0</v>
      </c>
      <c r="S56" s="81">
        <f>+$J56*0.5</f>
        <v>300000</v>
      </c>
      <c r="T56" s="83">
        <v>0</v>
      </c>
      <c r="U56" s="81">
        <f>+$J56*0.5</f>
        <v>300000</v>
      </c>
      <c r="V56" s="83">
        <v>0</v>
      </c>
      <c r="W56" s="128" t="s">
        <v>180</v>
      </c>
      <c r="X56" s="14">
        <f t="shared" si="3"/>
        <v>600000</v>
      </c>
      <c r="Y56" s="55">
        <f t="shared" si="1"/>
        <v>600000</v>
      </c>
      <c r="Z56" s="32">
        <f t="shared" si="2"/>
        <v>0</v>
      </c>
    </row>
    <row r="57" spans="2:237" ht="39" customHeight="1" x14ac:dyDescent="0.2">
      <c r="B57" s="3"/>
      <c r="C57" s="3"/>
      <c r="D57" s="3"/>
      <c r="E57" s="3"/>
      <c r="F57" s="24"/>
      <c r="G57" s="20" t="s">
        <v>103</v>
      </c>
      <c r="I57" s="138" t="s">
        <v>189</v>
      </c>
      <c r="J57" s="77">
        <f>+J58</f>
        <v>30000</v>
      </c>
      <c r="K57" s="78">
        <f t="shared" ref="K57:U57" si="32">+K58</f>
        <v>1</v>
      </c>
      <c r="L57" s="78">
        <f t="shared" si="32"/>
        <v>0</v>
      </c>
      <c r="M57" s="77">
        <f t="shared" si="32"/>
        <v>0</v>
      </c>
      <c r="N57" s="79">
        <v>0</v>
      </c>
      <c r="O57" s="77">
        <f t="shared" si="32"/>
        <v>0</v>
      </c>
      <c r="P57" s="79">
        <v>0</v>
      </c>
      <c r="Q57" s="77">
        <f t="shared" si="32"/>
        <v>0</v>
      </c>
      <c r="R57" s="79">
        <v>0</v>
      </c>
      <c r="S57" s="77">
        <f t="shared" si="32"/>
        <v>15000</v>
      </c>
      <c r="T57" s="79">
        <v>0</v>
      </c>
      <c r="U57" s="77">
        <f t="shared" si="32"/>
        <v>15000</v>
      </c>
      <c r="V57" s="79">
        <v>0</v>
      </c>
      <c r="W57" s="128"/>
      <c r="X57" s="14">
        <f t="shared" si="3"/>
        <v>30000</v>
      </c>
      <c r="Y57" s="55">
        <f t="shared" si="1"/>
        <v>30000</v>
      </c>
      <c r="Z57" s="32">
        <f t="shared" si="2"/>
        <v>0</v>
      </c>
    </row>
    <row r="58" spans="2:237" s="25" customFormat="1" ht="39" customHeight="1" x14ac:dyDescent="0.2">
      <c r="H58" s="50" t="s">
        <v>168</v>
      </c>
      <c r="I58" s="80" t="s">
        <v>163</v>
      </c>
      <c r="J58" s="97">
        <v>30000</v>
      </c>
      <c r="K58" s="91">
        <v>1</v>
      </c>
      <c r="L58" s="91">
        <v>0</v>
      </c>
      <c r="M58" s="90">
        <v>0</v>
      </c>
      <c r="N58" s="92">
        <v>0</v>
      </c>
      <c r="O58" s="90">
        <v>0</v>
      </c>
      <c r="P58" s="92">
        <v>0</v>
      </c>
      <c r="Q58" s="90">
        <v>0</v>
      </c>
      <c r="R58" s="92">
        <v>0</v>
      </c>
      <c r="S58" s="98">
        <f>+$J58*0.5</f>
        <v>15000</v>
      </c>
      <c r="T58" s="92">
        <v>0</v>
      </c>
      <c r="U58" s="98">
        <f>+$J58*0.5</f>
        <v>15000</v>
      </c>
      <c r="V58" s="92">
        <v>0</v>
      </c>
      <c r="W58" s="128" t="s">
        <v>179</v>
      </c>
      <c r="X58" s="14">
        <f t="shared" si="3"/>
        <v>30000</v>
      </c>
      <c r="Y58" s="55">
        <f t="shared" si="1"/>
        <v>30000</v>
      </c>
      <c r="Z58" s="32">
        <f t="shared" si="2"/>
        <v>0</v>
      </c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</row>
    <row r="59" spans="2:237" ht="39.950000000000003" customHeight="1" x14ac:dyDescent="0.2">
      <c r="I59" s="135" t="s">
        <v>209</v>
      </c>
      <c r="J59" s="132">
        <f>+J10+J15+J31+J45+J50</f>
        <v>34000000</v>
      </c>
      <c r="K59" s="133">
        <v>1</v>
      </c>
      <c r="L59" s="133">
        <f t="shared" ref="L59:U59" si="33">+L10+L15+L31+L45+L50</f>
        <v>0</v>
      </c>
      <c r="M59" s="132">
        <f>+M10+M15+M31+M45+M50</f>
        <v>2045500</v>
      </c>
      <c r="N59" s="134">
        <v>0</v>
      </c>
      <c r="O59" s="132">
        <f>+O10+O15+O31+O45+O50</f>
        <v>9208000</v>
      </c>
      <c r="P59" s="134">
        <v>0</v>
      </c>
      <c r="Q59" s="132">
        <f>+Q10+Q15+Q31+Q45+Q50</f>
        <v>8210000</v>
      </c>
      <c r="R59" s="134">
        <v>0</v>
      </c>
      <c r="S59" s="132">
        <f>+S10+S15+S31+S45+S50</f>
        <v>8142500</v>
      </c>
      <c r="T59" s="134">
        <v>0</v>
      </c>
      <c r="U59" s="132">
        <f>+U10+U15+U31+U45+U50</f>
        <v>6394000</v>
      </c>
      <c r="V59" s="134">
        <v>0</v>
      </c>
      <c r="W59" s="129"/>
      <c r="X59" s="46">
        <f>+X10+X15+X31+X45+X50</f>
        <v>34000000</v>
      </c>
      <c r="Y59" s="55">
        <f t="shared" si="1"/>
        <v>34000000</v>
      </c>
      <c r="Z59" s="32">
        <f t="shared" si="2"/>
        <v>0</v>
      </c>
    </row>
    <row r="60" spans="2:237" ht="39.950000000000003" customHeight="1" x14ac:dyDescent="0.2">
      <c r="H60" s="50" t="s">
        <v>168</v>
      </c>
      <c r="I60" s="151" t="s">
        <v>214</v>
      </c>
      <c r="J60" s="152">
        <v>1000000</v>
      </c>
      <c r="K60" s="153">
        <v>1</v>
      </c>
      <c r="L60" s="153">
        <v>0</v>
      </c>
      <c r="M60" s="152">
        <v>79960</v>
      </c>
      <c r="N60" s="154">
        <v>0</v>
      </c>
      <c r="O60" s="152">
        <f>+O61</f>
        <v>262135</v>
      </c>
      <c r="P60" s="154">
        <v>0</v>
      </c>
      <c r="Q60" s="152">
        <f>SUM(Q11,Q13,Q17,Q18,Q20,Q21,Q28,Q29,Q30,Q33,Q35,Q40,Q41,Q44,Q52,Q53,Q54,Q56,Q58)*0.05-140</f>
        <v>244735</v>
      </c>
      <c r="R60" s="154">
        <v>0</v>
      </c>
      <c r="S60" s="152">
        <f>SUM(S11,S13,S17,S18,S20,S21,S28,S29,S30,S33,S35,S40,S41,S44,S52,S53,S54,S56,S58)*0.05-140</f>
        <v>246735</v>
      </c>
      <c r="T60" s="154">
        <v>0</v>
      </c>
      <c r="U60" s="152">
        <f>SUM(U11,U13,U17,U18,U20,U21,U28,U29,U30,U33,U35,U40,U41,U44,U52,U53,U54,U56,U58)*0.05-140</f>
        <v>166435</v>
      </c>
      <c r="V60" s="154">
        <v>0</v>
      </c>
      <c r="W60" s="128"/>
      <c r="X60" s="14">
        <f>SUM(L59:U59)</f>
        <v>34000000</v>
      </c>
      <c r="Y60" s="55">
        <f t="shared" si="1"/>
        <v>1000000</v>
      </c>
      <c r="Z60" s="32">
        <f t="shared" si="2"/>
        <v>0</v>
      </c>
    </row>
    <row r="61" spans="2:237" ht="39.950000000000003" customHeight="1" x14ac:dyDescent="0.2">
      <c r="I61" s="146" t="s">
        <v>212</v>
      </c>
      <c r="J61" s="147">
        <v>1000000</v>
      </c>
      <c r="K61" s="148">
        <v>1</v>
      </c>
      <c r="L61" s="149">
        <v>0</v>
      </c>
      <c r="M61" s="147">
        <v>79960</v>
      </c>
      <c r="N61" s="150">
        <v>0</v>
      </c>
      <c r="O61" s="147">
        <v>262135</v>
      </c>
      <c r="P61" s="150">
        <v>0</v>
      </c>
      <c r="Q61" s="147">
        <f>SUM(Q60:Q60)</f>
        <v>244735</v>
      </c>
      <c r="R61" s="150">
        <v>0</v>
      </c>
      <c r="S61" s="147">
        <f>SUM(S60:S60)</f>
        <v>246735</v>
      </c>
      <c r="T61" s="150">
        <v>0</v>
      </c>
      <c r="U61" s="147">
        <f>SUM(U60:U60)</f>
        <v>166435</v>
      </c>
      <c r="V61" s="150">
        <v>0</v>
      </c>
      <c r="W61" s="128" t="s">
        <v>210</v>
      </c>
      <c r="X61" s="14"/>
      <c r="Y61" s="55">
        <f t="shared" si="1"/>
        <v>1000000</v>
      </c>
      <c r="Z61" s="32">
        <f t="shared" si="2"/>
        <v>0</v>
      </c>
    </row>
    <row r="62" spans="2:237" ht="39.950000000000003" customHeight="1" x14ac:dyDescent="0.2">
      <c r="I62" s="142" t="s">
        <v>171</v>
      </c>
      <c r="J62" s="143">
        <f>SUM(J59,J61)</f>
        <v>35000000</v>
      </c>
      <c r="K62" s="144">
        <v>1</v>
      </c>
      <c r="L62" s="144">
        <v>0</v>
      </c>
      <c r="M62" s="143">
        <f>SUM(M59,M61)</f>
        <v>2125460</v>
      </c>
      <c r="N62" s="145">
        <v>0</v>
      </c>
      <c r="O62" s="143">
        <f>SUM(O59,O61)</f>
        <v>9470135</v>
      </c>
      <c r="P62" s="145">
        <v>0</v>
      </c>
      <c r="Q62" s="143">
        <f t="shared" ref="Q62:U62" si="34">SUM(Q59,Q61)</f>
        <v>8454735</v>
      </c>
      <c r="R62" s="145">
        <v>0</v>
      </c>
      <c r="S62" s="143">
        <f t="shared" si="34"/>
        <v>8389235</v>
      </c>
      <c r="T62" s="145">
        <v>0</v>
      </c>
      <c r="U62" s="143">
        <f t="shared" si="34"/>
        <v>6560435</v>
      </c>
      <c r="V62" s="145">
        <v>0</v>
      </c>
      <c r="W62" s="129"/>
      <c r="X62" s="14"/>
      <c r="Y62" s="55">
        <f t="shared" si="1"/>
        <v>35000000</v>
      </c>
      <c r="Z62" s="32">
        <f t="shared" si="2"/>
        <v>0</v>
      </c>
    </row>
    <row r="63" spans="2:237" ht="39.950000000000003" customHeight="1" x14ac:dyDescent="0.2">
      <c r="I63" s="155" t="s">
        <v>175</v>
      </c>
      <c r="J63" s="156"/>
      <c r="K63" s="157"/>
      <c r="L63" s="157"/>
      <c r="M63" s="158">
        <f>+M62/J62</f>
        <v>6.0727428571428571E-2</v>
      </c>
      <c r="N63" s="159"/>
      <c r="O63" s="158">
        <f>+O62/35000000</f>
        <v>0.27057528571428574</v>
      </c>
      <c r="P63" s="159"/>
      <c r="Q63" s="158">
        <f>+Q62/35000000</f>
        <v>0.24156385714285714</v>
      </c>
      <c r="R63" s="159"/>
      <c r="S63" s="158">
        <f>+S62/35000000</f>
        <v>0.23969242857142858</v>
      </c>
      <c r="T63" s="159"/>
      <c r="U63" s="158">
        <f>+U62/35000000</f>
        <v>0.187441</v>
      </c>
      <c r="V63" s="159"/>
      <c r="W63" s="128"/>
      <c r="Y63" s="55">
        <f t="shared" si="1"/>
        <v>1</v>
      </c>
      <c r="Z63" s="32">
        <f t="shared" si="2"/>
        <v>-1</v>
      </c>
    </row>
    <row r="64" spans="2:237" ht="30" hidden="1" customHeight="1" x14ac:dyDescent="0.2">
      <c r="I64" s="99"/>
      <c r="J64" s="100"/>
      <c r="K64" s="101"/>
      <c r="L64" s="101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3"/>
      <c r="Y64" s="55">
        <f t="shared" si="1"/>
        <v>0</v>
      </c>
      <c r="Z64" s="32">
        <f t="shared" si="2"/>
        <v>0</v>
      </c>
    </row>
    <row r="65" spans="8:26" ht="13.5" hidden="1" thickBot="1" x14ac:dyDescent="0.25">
      <c r="I65" s="104"/>
      <c r="J65" s="58"/>
      <c r="K65" s="58"/>
      <c r="L65" s="58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6"/>
      <c r="Y65" s="55">
        <f t="shared" si="1"/>
        <v>0</v>
      </c>
      <c r="Z65" s="32">
        <f t="shared" si="2"/>
        <v>0</v>
      </c>
    </row>
    <row r="66" spans="8:26" ht="33.75" hidden="1" customHeight="1" thickBot="1" x14ac:dyDescent="0.25">
      <c r="H66" s="50"/>
      <c r="I66" s="107" t="s">
        <v>172</v>
      </c>
      <c r="J66" s="108">
        <f>+J10+J16+J19+J27+J32+J34+J40+J43+J50+J60-500000</f>
        <v>20150000</v>
      </c>
      <c r="K66" s="109">
        <v>100</v>
      </c>
      <c r="L66" s="109">
        <v>0</v>
      </c>
      <c r="M66" s="108">
        <f>+M10+M16+M19+M27+M32+M34+M40+M43+M50+M60-500000</f>
        <v>1037960</v>
      </c>
      <c r="N66" s="108">
        <v>0</v>
      </c>
      <c r="O66" s="108">
        <f>+O10+O16+O19+O27+O32+O34+O40+O43+O50+O60-500000</f>
        <v>4937635</v>
      </c>
      <c r="P66" s="108">
        <v>0</v>
      </c>
      <c r="Q66" s="108">
        <f>+Q10+Q16+Q19+Q27+Q32+Q34+Q40+Q43+Q50+Q60-500000</f>
        <v>4492235</v>
      </c>
      <c r="R66" s="108">
        <v>0</v>
      </c>
      <c r="S66" s="108">
        <f>+S10+S16+S19+S27+S32+S34+S40+S43+S50+S60-500000</f>
        <v>4684235</v>
      </c>
      <c r="T66" s="108">
        <v>0</v>
      </c>
      <c r="U66" s="108">
        <f>+U10+U16+U19+U27+U32+U34+U40+U43+U50+U60-500000</f>
        <v>2997935</v>
      </c>
      <c r="V66" s="108">
        <f>SUM(M66:U66)</f>
        <v>18150000</v>
      </c>
      <c r="W66" s="110" t="s">
        <v>181</v>
      </c>
      <c r="X66" s="44"/>
      <c r="Y66" s="55">
        <f t="shared" si="1"/>
        <v>18150000</v>
      </c>
      <c r="Z66" s="32">
        <f t="shared" si="2"/>
        <v>2000000</v>
      </c>
    </row>
    <row r="67" spans="8:26" ht="33" hidden="1" customHeight="1" thickBot="1" x14ac:dyDescent="0.25">
      <c r="H67" s="52"/>
      <c r="I67" s="107" t="s">
        <v>173</v>
      </c>
      <c r="J67" s="111">
        <f>+J47+J49</f>
        <v>6000000</v>
      </c>
      <c r="K67" s="109">
        <v>100</v>
      </c>
      <c r="L67" s="109">
        <v>0</v>
      </c>
      <c r="M67" s="111">
        <f t="shared" ref="M67:U67" si="35">+M47+M49</f>
        <v>0</v>
      </c>
      <c r="N67" s="112"/>
      <c r="O67" s="111">
        <f t="shared" si="35"/>
        <v>1440000</v>
      </c>
      <c r="P67" s="112"/>
      <c r="Q67" s="111">
        <f t="shared" si="35"/>
        <v>1567500.0000000002</v>
      </c>
      <c r="R67" s="112"/>
      <c r="S67" s="111">
        <f t="shared" si="35"/>
        <v>1567500.0000000002</v>
      </c>
      <c r="T67" s="112"/>
      <c r="U67" s="111">
        <f t="shared" si="35"/>
        <v>1425000</v>
      </c>
      <c r="V67" s="113"/>
      <c r="W67" s="110" t="s">
        <v>182</v>
      </c>
      <c r="X67" s="44"/>
      <c r="Y67" s="55">
        <f t="shared" si="1"/>
        <v>6000000</v>
      </c>
      <c r="Z67" s="32">
        <f t="shared" si="2"/>
        <v>0</v>
      </c>
    </row>
    <row r="68" spans="8:26" ht="26.25" hidden="1" customHeight="1" x14ac:dyDescent="0.2">
      <c r="H68" s="47"/>
      <c r="I68" s="107" t="s">
        <v>174</v>
      </c>
      <c r="J68" s="111">
        <f>+J23+J24+J25+J26+J37+J38+J42</f>
        <v>7850000</v>
      </c>
      <c r="K68" s="109">
        <v>100</v>
      </c>
      <c r="L68" s="109">
        <v>0</v>
      </c>
      <c r="M68" s="111">
        <f t="shared" ref="M68:U68" si="36">+M23+M24+M25+M26+M37+M38+M42</f>
        <v>437500</v>
      </c>
      <c r="N68" s="112"/>
      <c r="O68" s="111">
        <f t="shared" si="36"/>
        <v>2392500</v>
      </c>
      <c r="P68" s="112"/>
      <c r="Q68" s="111">
        <f t="shared" si="36"/>
        <v>1745000</v>
      </c>
      <c r="R68" s="112"/>
      <c r="S68" s="111">
        <f t="shared" si="36"/>
        <v>1637500</v>
      </c>
      <c r="T68" s="112"/>
      <c r="U68" s="111">
        <f t="shared" si="36"/>
        <v>1637500</v>
      </c>
      <c r="V68" s="113"/>
      <c r="W68" s="106"/>
      <c r="X68" s="44"/>
      <c r="Y68" s="55">
        <f t="shared" si="1"/>
        <v>7850000</v>
      </c>
      <c r="Z68" s="32">
        <f t="shared" si="2"/>
        <v>0</v>
      </c>
    </row>
    <row r="69" spans="8:26" ht="24" hidden="1" customHeight="1" x14ac:dyDescent="0.2">
      <c r="I69" s="114" t="s">
        <v>197</v>
      </c>
      <c r="J69" s="115">
        <f>SUM(J66:J68)</f>
        <v>34000000</v>
      </c>
      <c r="K69" s="116">
        <v>100</v>
      </c>
      <c r="L69" s="116">
        <v>0</v>
      </c>
      <c r="M69" s="117">
        <f t="shared" ref="M69:U69" si="37">SUM(M66:M68)</f>
        <v>1475460</v>
      </c>
      <c r="N69" s="118"/>
      <c r="O69" s="117">
        <f t="shared" si="37"/>
        <v>8770135</v>
      </c>
      <c r="P69" s="118"/>
      <c r="Q69" s="117">
        <f t="shared" si="37"/>
        <v>7804735</v>
      </c>
      <c r="R69" s="118"/>
      <c r="S69" s="117">
        <f t="shared" si="37"/>
        <v>7889235</v>
      </c>
      <c r="T69" s="118"/>
      <c r="U69" s="117">
        <f t="shared" si="37"/>
        <v>6060435</v>
      </c>
      <c r="V69" s="119"/>
      <c r="W69" s="106"/>
      <c r="X69" s="44"/>
      <c r="Y69" s="55">
        <f t="shared" si="1"/>
        <v>32000000</v>
      </c>
      <c r="Z69" s="32">
        <f t="shared" si="2"/>
        <v>2000000</v>
      </c>
    </row>
    <row r="70" spans="8:26" hidden="1" x14ac:dyDescent="0.2">
      <c r="I70" s="120"/>
      <c r="J70" s="58"/>
      <c r="K70" s="121"/>
      <c r="L70" s="121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1"/>
      <c r="X70" s="44"/>
      <c r="Y70" s="44"/>
    </row>
    <row r="71" spans="8:26" hidden="1" x14ac:dyDescent="0.2">
      <c r="I71" s="43"/>
      <c r="J71" s="54"/>
      <c r="K71" s="44"/>
      <c r="L71" s="44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4"/>
      <c r="X71" s="44"/>
      <c r="Y71" s="44"/>
    </row>
    <row r="72" spans="8:26" hidden="1" x14ac:dyDescent="0.2">
      <c r="I72" s="43"/>
      <c r="J72" s="55">
        <f>+J22+J36+J42+J41</f>
        <v>8350000</v>
      </c>
      <c r="K72" s="44"/>
      <c r="L72" s="44"/>
      <c r="M72" s="45">
        <f>+M59*0.05</f>
        <v>102275</v>
      </c>
      <c r="N72" s="45">
        <f t="shared" ref="N72:U72" si="38">+N59*0.05</f>
        <v>0</v>
      </c>
      <c r="O72" s="45">
        <f t="shared" si="38"/>
        <v>460400</v>
      </c>
      <c r="P72" s="45">
        <f t="shared" si="38"/>
        <v>0</v>
      </c>
      <c r="Q72" s="45">
        <f t="shared" si="38"/>
        <v>410500</v>
      </c>
      <c r="R72" s="45">
        <f t="shared" si="38"/>
        <v>0</v>
      </c>
      <c r="S72" s="45">
        <f t="shared" si="38"/>
        <v>407125</v>
      </c>
      <c r="T72" s="45">
        <f t="shared" si="38"/>
        <v>0</v>
      </c>
      <c r="U72" s="45">
        <f t="shared" si="38"/>
        <v>319700</v>
      </c>
      <c r="V72" s="45"/>
      <c r="W72" s="195">
        <f>SUM(M72:V72)</f>
        <v>1700000</v>
      </c>
      <c r="X72" s="44"/>
      <c r="Y72" s="44"/>
    </row>
    <row r="73" spans="8:26" hidden="1" x14ac:dyDescent="0.2">
      <c r="I73" s="43"/>
      <c r="J73" s="54"/>
      <c r="K73" s="44"/>
      <c r="L73" s="44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4"/>
      <c r="X73" s="44"/>
      <c r="Y73" s="44"/>
    </row>
    <row r="74" spans="8:26" hidden="1" x14ac:dyDescent="0.2">
      <c r="I74" s="43"/>
      <c r="J74" s="195">
        <f>+J72+J67</f>
        <v>14350000</v>
      </c>
      <c r="K74" s="44"/>
      <c r="L74" s="44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4"/>
      <c r="X74" s="44"/>
      <c r="Y74" s="44"/>
    </row>
    <row r="76" spans="8:26" x14ac:dyDescent="0.2">
      <c r="J76" s="55"/>
      <c r="M76" s="196">
        <f>+M62/35000000%</f>
        <v>6.072742857142857</v>
      </c>
      <c r="O76" s="196">
        <f>+O62/35000000%</f>
        <v>27.05752857142857</v>
      </c>
      <c r="Q76" s="196">
        <f>+Q62/35000000%</f>
        <v>24.156385714285715</v>
      </c>
      <c r="S76" s="196">
        <f>+S62/35000000%</f>
        <v>23.969242857142856</v>
      </c>
      <c r="U76" s="196">
        <f>+U62/35000000%</f>
        <v>18.7441</v>
      </c>
      <c r="W76" s="197">
        <f>SUM(M76:U76)</f>
        <v>100</v>
      </c>
    </row>
    <row r="77" spans="8:26" x14ac:dyDescent="0.2">
      <c r="J77" s="32"/>
    </row>
    <row r="79" spans="8:26" x14ac:dyDescent="0.2">
      <c r="J79" s="55"/>
      <c r="L79">
        <f>+K53100</f>
        <v>0</v>
      </c>
    </row>
  </sheetData>
  <mergeCells count="18">
    <mergeCell ref="W20:W21"/>
    <mergeCell ref="W23:W26"/>
    <mergeCell ref="W37:W38"/>
    <mergeCell ref="W33:W35"/>
    <mergeCell ref="W52:W54"/>
    <mergeCell ref="I1:W1"/>
    <mergeCell ref="I2:U2"/>
    <mergeCell ref="I5:I7"/>
    <mergeCell ref="J5:J7"/>
    <mergeCell ref="K5:L5"/>
    <mergeCell ref="M6:N6"/>
    <mergeCell ref="O6:P6"/>
    <mergeCell ref="Q6:R6"/>
    <mergeCell ref="S6:T6"/>
    <mergeCell ref="M5:V5"/>
    <mergeCell ref="U6:V6"/>
    <mergeCell ref="K6:L6"/>
    <mergeCell ref="W17:W18"/>
  </mergeCells>
  <pageMargins left="0.511811024" right="0.511811024" top="0.78740157499999996" bottom="0.78740157499999996" header="0.31496062000000002" footer="0.31496062000000002"/>
  <pageSetup scale="43" fitToHeight="6" orientation="portrait" horizontalDpi="300" r:id="rId1"/>
  <headerFooter>
    <oddHeader xml:space="preserve">&amp;REER #2-BR-L1408
Página &amp;P de &amp;N
</oddHeader>
  </headerFooter>
  <ignoredErrors>
    <ignoredError sqref="O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70"/>
  <sheetViews>
    <sheetView topLeftCell="D1" workbookViewId="0">
      <selection activeCell="D11" sqref="D11"/>
    </sheetView>
  </sheetViews>
  <sheetFormatPr defaultColWidth="8.85546875" defaultRowHeight="12.75" x14ac:dyDescent="0.2"/>
  <cols>
    <col min="1" max="1" width="19.7109375" customWidth="1"/>
    <col min="2" max="2" width="77.140625" customWidth="1"/>
    <col min="3" max="3" width="75.42578125" customWidth="1"/>
    <col min="4" max="4" width="77.42578125" customWidth="1"/>
    <col min="5" max="5" width="91.28515625" customWidth="1"/>
    <col min="6" max="10" width="11.140625" style="14" bestFit="1" customWidth="1"/>
    <col min="11" max="11" width="12.140625" style="14" bestFit="1" customWidth="1"/>
    <col min="12" max="16" width="14.42578125" customWidth="1"/>
    <col min="17" max="23" width="14.42578125" bestFit="1" customWidth="1"/>
    <col min="24" max="25" width="14.42578125" customWidth="1"/>
    <col min="26" max="28" width="14.42578125" bestFit="1" customWidth="1"/>
    <col min="29" max="29" width="14.42578125" customWidth="1"/>
    <col min="30" max="30" width="14.42578125" bestFit="1" customWidth="1"/>
    <col min="31" max="31" width="14.42578125" customWidth="1"/>
    <col min="32" max="34" width="14.42578125" bestFit="1" customWidth="1"/>
    <col min="35" max="35" width="8" customWidth="1"/>
    <col min="36" max="36" width="17.7109375" bestFit="1" customWidth="1"/>
    <col min="37" max="37" width="8.42578125" customWidth="1"/>
    <col min="38" max="40" width="14.42578125" bestFit="1" customWidth="1"/>
    <col min="41" max="41" width="9.42578125" bestFit="1" customWidth="1"/>
    <col min="42" max="42" width="19.28515625" bestFit="1" customWidth="1"/>
    <col min="43" max="43" width="10" bestFit="1" customWidth="1"/>
    <col min="44" max="44" width="9.42578125" bestFit="1" customWidth="1"/>
    <col min="45" max="45" width="19.28515625" bestFit="1" customWidth="1"/>
    <col min="46" max="46" width="10" bestFit="1" customWidth="1"/>
  </cols>
  <sheetData>
    <row r="3" spans="1:11" x14ac:dyDescent="0.2">
      <c r="A3" s="1" t="s">
        <v>1</v>
      </c>
      <c r="B3" s="5"/>
      <c r="C3" s="5"/>
      <c r="D3" s="5"/>
      <c r="E3" s="5"/>
      <c r="F3" s="10" t="s">
        <v>0</v>
      </c>
      <c r="G3" s="8"/>
      <c r="H3" s="8"/>
      <c r="I3" s="8"/>
      <c r="J3" s="8"/>
      <c r="K3" s="9"/>
    </row>
    <row r="4" spans="1:11" x14ac:dyDescent="0.2">
      <c r="A4" s="1" t="s">
        <v>8</v>
      </c>
      <c r="B4" s="1" t="s">
        <v>10</v>
      </c>
      <c r="C4" s="1" t="s">
        <v>13</v>
      </c>
      <c r="D4" s="1" t="s">
        <v>18</v>
      </c>
      <c r="E4" s="1" t="s">
        <v>37</v>
      </c>
      <c r="F4" s="10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2" t="s">
        <v>7</v>
      </c>
    </row>
    <row r="5" spans="1:11" x14ac:dyDescent="0.2">
      <c r="A5" s="1" t="s">
        <v>9</v>
      </c>
      <c r="B5" s="1" t="s">
        <v>9</v>
      </c>
      <c r="C5" s="5"/>
      <c r="D5" s="5"/>
      <c r="E5" s="5"/>
      <c r="F5" s="10">
        <v>0</v>
      </c>
      <c r="G5" s="11">
        <v>0</v>
      </c>
      <c r="H5" s="11">
        <v>0</v>
      </c>
      <c r="I5" s="11">
        <v>0</v>
      </c>
      <c r="J5" s="11">
        <v>0</v>
      </c>
      <c r="K5" s="12">
        <v>0</v>
      </c>
    </row>
    <row r="6" spans="1:11" x14ac:dyDescent="0.2">
      <c r="A6" s="3"/>
      <c r="B6" s="1" t="s">
        <v>11</v>
      </c>
      <c r="C6" s="1" t="s">
        <v>11</v>
      </c>
      <c r="D6" s="5"/>
      <c r="E6" s="5"/>
      <c r="F6" s="10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</row>
    <row r="7" spans="1:11" x14ac:dyDescent="0.2">
      <c r="A7" s="3"/>
      <c r="B7" s="3"/>
      <c r="C7" s="1" t="s">
        <v>14</v>
      </c>
      <c r="D7" s="1" t="s">
        <v>14</v>
      </c>
      <c r="E7" s="5"/>
      <c r="F7" s="10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</row>
    <row r="8" spans="1:11" x14ac:dyDescent="0.2">
      <c r="A8" s="3"/>
      <c r="B8" s="3"/>
      <c r="C8" s="3"/>
      <c r="D8" s="1" t="s">
        <v>19</v>
      </c>
      <c r="E8" s="1" t="s">
        <v>19</v>
      </c>
      <c r="F8" s="10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</row>
    <row r="9" spans="1:11" x14ac:dyDescent="0.2">
      <c r="A9" s="3"/>
      <c r="B9" s="3"/>
      <c r="C9" s="3"/>
      <c r="D9" s="3"/>
      <c r="E9" s="6" t="s">
        <v>38</v>
      </c>
      <c r="F9" s="13">
        <v>1020670.4100000001</v>
      </c>
      <c r="G9" s="14">
        <v>1016759.7800000001</v>
      </c>
      <c r="H9" s="14">
        <v>762569.83000000007</v>
      </c>
      <c r="I9" s="14">
        <v>0</v>
      </c>
      <c r="J9" s="14">
        <v>0</v>
      </c>
      <c r="K9" s="15">
        <v>2800000.0200000005</v>
      </c>
    </row>
    <row r="10" spans="1:11" x14ac:dyDescent="0.2">
      <c r="A10" s="3"/>
      <c r="B10" s="3"/>
      <c r="C10" s="3"/>
      <c r="D10" s="1" t="s">
        <v>39</v>
      </c>
      <c r="E10" s="5" t="str">
        <f>D10</f>
        <v>P1. Estudos de Consultoria Desenvolvidos Total</v>
      </c>
      <c r="F10" s="10">
        <v>1020670.4100000001</v>
      </c>
      <c r="G10" s="11">
        <v>1016759.7800000001</v>
      </c>
      <c r="H10" s="11">
        <v>762569.83000000007</v>
      </c>
      <c r="I10" s="11">
        <v>0</v>
      </c>
      <c r="J10" s="11">
        <v>0</v>
      </c>
      <c r="K10" s="12">
        <v>2800000.0200000005</v>
      </c>
    </row>
    <row r="11" spans="1:11" x14ac:dyDescent="0.2">
      <c r="A11" s="3"/>
      <c r="B11" s="3"/>
      <c r="C11" s="3"/>
      <c r="D11" s="1" t="s">
        <v>20</v>
      </c>
      <c r="E11" s="1" t="s">
        <v>20</v>
      </c>
      <c r="F11" s="10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</row>
    <row r="12" spans="1:11" x14ac:dyDescent="0.2">
      <c r="A12" s="3"/>
      <c r="B12" s="3"/>
      <c r="C12" s="3"/>
      <c r="D12" s="3"/>
      <c r="E12" s="6" t="s">
        <v>40</v>
      </c>
      <c r="F12" s="13">
        <v>440337.41000000003</v>
      </c>
      <c r="G12" s="14">
        <v>109662.57</v>
      </c>
      <c r="H12" s="14">
        <v>0</v>
      </c>
      <c r="I12" s="14">
        <v>0</v>
      </c>
      <c r="J12" s="14">
        <v>0</v>
      </c>
      <c r="K12" s="15">
        <v>549999.98</v>
      </c>
    </row>
    <row r="13" spans="1:11" x14ac:dyDescent="0.2">
      <c r="A13" s="3"/>
      <c r="B13" s="3"/>
      <c r="C13" s="3"/>
      <c r="D13" s="1" t="s">
        <v>41</v>
      </c>
      <c r="E13" s="5" t="str">
        <f>D13</f>
        <v>P2. Sistemas de regulação de acesso e auditorias reforçados Total</v>
      </c>
      <c r="F13" s="10">
        <v>440337.41000000003</v>
      </c>
      <c r="G13" s="11">
        <v>109662.57</v>
      </c>
      <c r="H13" s="11">
        <v>0</v>
      </c>
      <c r="I13" s="11">
        <v>0</v>
      </c>
      <c r="J13" s="11">
        <v>0</v>
      </c>
      <c r="K13" s="12">
        <v>549999.98</v>
      </c>
    </row>
    <row r="14" spans="1:11" x14ac:dyDescent="0.2">
      <c r="A14" s="3"/>
      <c r="B14" s="3"/>
      <c r="C14" s="3"/>
      <c r="D14" s="1" t="s">
        <v>21</v>
      </c>
      <c r="E14" s="1" t="s">
        <v>21</v>
      </c>
      <c r="F14" s="10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</row>
    <row r="15" spans="1:11" x14ac:dyDescent="0.2">
      <c r="A15" s="3"/>
      <c r="B15" s="3"/>
      <c r="C15" s="3"/>
      <c r="D15" s="3"/>
      <c r="E15" s="6" t="s">
        <v>42</v>
      </c>
      <c r="F15" s="13">
        <v>751439.52</v>
      </c>
      <c r="G15" s="14">
        <v>748560.44</v>
      </c>
      <c r="H15" s="14">
        <v>0</v>
      </c>
      <c r="I15" s="14">
        <v>0</v>
      </c>
      <c r="J15" s="14">
        <v>0</v>
      </c>
      <c r="K15" s="15">
        <v>1499999.96</v>
      </c>
    </row>
    <row r="16" spans="1:11" x14ac:dyDescent="0.2">
      <c r="A16" s="3"/>
      <c r="B16" s="3"/>
      <c r="C16" s="3"/>
      <c r="D16" s="1" t="s">
        <v>43</v>
      </c>
      <c r="E16" s="5" t="str">
        <f>D16</f>
        <v>P3. Protocolos clínicos e linhas de cuidados desenvolvidas Total</v>
      </c>
      <c r="F16" s="10">
        <v>751439.52</v>
      </c>
      <c r="G16" s="11">
        <v>748560.44</v>
      </c>
      <c r="H16" s="11">
        <v>0</v>
      </c>
      <c r="I16" s="11">
        <v>0</v>
      </c>
      <c r="J16" s="11">
        <v>0</v>
      </c>
      <c r="K16" s="12">
        <v>1499999.96</v>
      </c>
    </row>
    <row r="17" spans="1:11" x14ac:dyDescent="0.2">
      <c r="A17" s="3"/>
      <c r="B17" s="3"/>
      <c r="C17" s="3"/>
      <c r="D17" s="1" t="s">
        <v>22</v>
      </c>
      <c r="E17" s="1" t="s">
        <v>22</v>
      </c>
      <c r="F17" s="10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</row>
    <row r="18" spans="1:11" x14ac:dyDescent="0.2">
      <c r="A18" s="3"/>
      <c r="B18" s="3"/>
      <c r="C18" s="3"/>
      <c r="D18" s="3"/>
      <c r="E18" s="6" t="s">
        <v>44</v>
      </c>
      <c r="F18" s="13">
        <v>750719.04</v>
      </c>
      <c r="G18" s="14">
        <v>747842.74</v>
      </c>
      <c r="H18" s="14">
        <v>750719.06000000017</v>
      </c>
      <c r="I18" s="14">
        <v>750719.06</v>
      </c>
      <c r="J18" s="14">
        <v>0</v>
      </c>
      <c r="K18" s="15">
        <v>2999999.9</v>
      </c>
    </row>
    <row r="19" spans="1:11" x14ac:dyDescent="0.2">
      <c r="A19" s="3"/>
      <c r="B19" s="3"/>
      <c r="C19" s="3"/>
      <c r="D19" s="3"/>
      <c r="E19" s="6" t="s">
        <v>45</v>
      </c>
      <c r="F19" s="13">
        <v>199365.61</v>
      </c>
      <c r="G19" s="14">
        <v>395687.47</v>
      </c>
      <c r="H19" s="14">
        <v>397209.33999999997</v>
      </c>
      <c r="I19" s="14">
        <v>397209.33999999997</v>
      </c>
      <c r="J19" s="14">
        <v>398731.22</v>
      </c>
      <c r="K19" s="15">
        <v>1788202.9799999995</v>
      </c>
    </row>
    <row r="20" spans="1:11" x14ac:dyDescent="0.2">
      <c r="A20" s="3"/>
      <c r="B20" s="3"/>
      <c r="C20" s="3"/>
      <c r="D20" s="1" t="s">
        <v>46</v>
      </c>
      <c r="E20" s="5" t="str">
        <f>D20</f>
        <v>P4. Linhas de Cuidado Implementadas Total</v>
      </c>
      <c r="F20" s="10">
        <v>950084.65</v>
      </c>
      <c r="G20" s="11">
        <v>1143530.21</v>
      </c>
      <c r="H20" s="11">
        <v>1147928.4000000004</v>
      </c>
      <c r="I20" s="11">
        <v>1147928.4000000004</v>
      </c>
      <c r="J20" s="11">
        <v>398731.22</v>
      </c>
      <c r="K20" s="12">
        <v>4788202.8800000008</v>
      </c>
    </row>
    <row r="21" spans="1:11" x14ac:dyDescent="0.2">
      <c r="A21" s="3"/>
      <c r="B21" s="3"/>
      <c r="C21" s="3"/>
      <c r="D21" s="1" t="s">
        <v>23</v>
      </c>
      <c r="E21" s="1" t="s">
        <v>23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2">
        <v>0</v>
      </c>
    </row>
    <row r="22" spans="1:11" x14ac:dyDescent="0.2">
      <c r="A22" s="3"/>
      <c r="B22" s="3"/>
      <c r="C22" s="3"/>
      <c r="D22" s="3"/>
      <c r="E22" s="6" t="s">
        <v>47</v>
      </c>
      <c r="F22" s="13">
        <v>2252157.2200000002</v>
      </c>
      <c r="G22" s="14">
        <v>2243528.2700000005</v>
      </c>
      <c r="H22" s="14">
        <v>2252157.2200000002</v>
      </c>
      <c r="I22" s="14">
        <v>2252157.2200000002</v>
      </c>
      <c r="J22" s="14">
        <v>0</v>
      </c>
      <c r="K22" s="15">
        <v>8999999.9300000016</v>
      </c>
    </row>
    <row r="23" spans="1:11" x14ac:dyDescent="0.2">
      <c r="A23" s="3"/>
      <c r="B23" s="3"/>
      <c r="C23" s="3"/>
      <c r="D23" s="1" t="s">
        <v>48</v>
      </c>
      <c r="E23" s="5" t="str">
        <f>D23</f>
        <v>P5. Novas instalações (sede) da SESA construídas e equipadas Total</v>
      </c>
      <c r="F23" s="10">
        <v>2252157.2200000002</v>
      </c>
      <c r="G23" s="11">
        <v>2243528.2700000005</v>
      </c>
      <c r="H23" s="11">
        <v>2252157.2200000002</v>
      </c>
      <c r="I23" s="11">
        <v>2252157.2200000002</v>
      </c>
      <c r="J23" s="11">
        <v>0</v>
      </c>
      <c r="K23" s="12">
        <v>8999999.9300000016</v>
      </c>
    </row>
    <row r="24" spans="1:11" x14ac:dyDescent="0.2">
      <c r="A24" s="3"/>
      <c r="B24" s="3"/>
      <c r="C24" s="3"/>
      <c r="D24" s="1" t="s">
        <v>24</v>
      </c>
      <c r="E24" s="1" t="s">
        <v>24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</row>
    <row r="25" spans="1:11" x14ac:dyDescent="0.2">
      <c r="A25" s="3"/>
      <c r="B25" s="3"/>
      <c r="C25" s="3"/>
      <c r="D25" s="3"/>
      <c r="E25" s="6" t="s">
        <v>49</v>
      </c>
      <c r="F25" s="13">
        <v>0</v>
      </c>
      <c r="G25" s="14">
        <v>1662404.08</v>
      </c>
      <c r="H25" s="14">
        <v>1668797.9400000002</v>
      </c>
      <c r="I25" s="14">
        <v>1668797.9400000002</v>
      </c>
      <c r="J25" s="14">
        <v>0</v>
      </c>
      <c r="K25" s="15">
        <v>4999999.9600000009</v>
      </c>
    </row>
    <row r="26" spans="1:11" x14ac:dyDescent="0.2">
      <c r="A26" s="3"/>
      <c r="B26" s="3"/>
      <c r="C26" s="3"/>
      <c r="D26" s="1" t="s">
        <v>50</v>
      </c>
      <c r="E26" s="5" t="str">
        <f>D26</f>
        <v>P6. Centro de logística Implantado Total</v>
      </c>
      <c r="F26" s="10">
        <v>0</v>
      </c>
      <c r="G26" s="11">
        <v>1662404.08</v>
      </c>
      <c r="H26" s="11">
        <v>1668797.9400000002</v>
      </c>
      <c r="I26" s="11">
        <v>1668797.9400000002</v>
      </c>
      <c r="J26" s="11">
        <v>0</v>
      </c>
      <c r="K26" s="12">
        <v>4999999.9600000009</v>
      </c>
    </row>
    <row r="27" spans="1:11" x14ac:dyDescent="0.2">
      <c r="A27" s="3"/>
      <c r="B27" s="3"/>
      <c r="C27" s="3"/>
      <c r="D27" s="1" t="s">
        <v>25</v>
      </c>
      <c r="E27" s="1" t="s">
        <v>25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</row>
    <row r="28" spans="1:11" x14ac:dyDescent="0.2">
      <c r="A28" s="3"/>
      <c r="B28" s="3"/>
      <c r="C28" s="3"/>
      <c r="D28" s="3"/>
      <c r="E28" s="6" t="s">
        <v>51</v>
      </c>
      <c r="F28" s="13">
        <v>2199999.96</v>
      </c>
      <c r="G28" s="14">
        <v>0</v>
      </c>
      <c r="H28" s="14">
        <v>0</v>
      </c>
      <c r="I28" s="14">
        <v>0</v>
      </c>
      <c r="J28" s="14">
        <v>0</v>
      </c>
      <c r="K28" s="15">
        <v>2199999.96</v>
      </c>
    </row>
    <row r="29" spans="1:11" x14ac:dyDescent="0.2">
      <c r="A29" s="3"/>
      <c r="B29" s="3"/>
      <c r="C29" s="3"/>
      <c r="D29" s="1" t="s">
        <v>52</v>
      </c>
      <c r="E29" s="5" t="str">
        <f>D29</f>
        <v>P7. Hospitais da Rede Pública com sistema de informática de gestão implementados Total</v>
      </c>
      <c r="F29" s="10">
        <v>2199999.96</v>
      </c>
      <c r="G29" s="11">
        <v>0</v>
      </c>
      <c r="H29" s="11">
        <v>0</v>
      </c>
      <c r="I29" s="11">
        <v>0</v>
      </c>
      <c r="J29" s="11">
        <v>0</v>
      </c>
      <c r="K29" s="12">
        <v>2199999.96</v>
      </c>
    </row>
    <row r="30" spans="1:11" x14ac:dyDescent="0.2">
      <c r="A30" s="3"/>
      <c r="B30" s="3"/>
      <c r="C30" s="3"/>
      <c r="D30" s="1" t="s">
        <v>26</v>
      </c>
      <c r="E30" s="1" t="s">
        <v>26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2">
        <v>0</v>
      </c>
    </row>
    <row r="31" spans="1:11" x14ac:dyDescent="0.2">
      <c r="A31" s="3"/>
      <c r="B31" s="3"/>
      <c r="C31" s="3"/>
      <c r="D31" s="3"/>
      <c r="E31" s="6" t="s">
        <v>53</v>
      </c>
      <c r="F31" s="13">
        <v>99795.300000000017</v>
      </c>
      <c r="G31" s="14">
        <v>399181.18</v>
      </c>
      <c r="H31" s="14">
        <v>400716.49</v>
      </c>
      <c r="I31" s="14">
        <v>400716.49</v>
      </c>
      <c r="J31" s="14">
        <v>199590.59</v>
      </c>
      <c r="K31" s="15">
        <v>1500000.05</v>
      </c>
    </row>
    <row r="32" spans="1:11" x14ac:dyDescent="0.2">
      <c r="A32" s="3"/>
      <c r="B32" s="3"/>
      <c r="C32" s="3"/>
      <c r="D32" s="1" t="s">
        <v>54</v>
      </c>
      <c r="E32" s="5" t="str">
        <f>D32</f>
        <v>P8. Estabelecimentos de saúde (media complexidade e hospitais) certificados em qualidade Total</v>
      </c>
      <c r="F32" s="10">
        <v>99795.300000000017</v>
      </c>
      <c r="G32" s="11">
        <v>399181.18</v>
      </c>
      <c r="H32" s="11">
        <v>400716.49</v>
      </c>
      <c r="I32" s="11">
        <v>400716.49</v>
      </c>
      <c r="J32" s="11">
        <v>199590.59</v>
      </c>
      <c r="K32" s="12">
        <v>1500000.05</v>
      </c>
    </row>
    <row r="33" spans="1:11" x14ac:dyDescent="0.2">
      <c r="A33" s="3"/>
      <c r="B33" s="3"/>
      <c r="C33" s="1" t="s">
        <v>27</v>
      </c>
      <c r="D33" s="5"/>
      <c r="E33" s="5" t="str">
        <f>C33</f>
        <v>COMPONENTE 1 -Fortalecimento da Gestão e Melhoria da Qualidade dos Serviços Total</v>
      </c>
      <c r="F33" s="10">
        <v>7714484.4700000007</v>
      </c>
      <c r="G33" s="11">
        <v>7323626.5300000003</v>
      </c>
      <c r="H33" s="11">
        <v>6232169.8800000008</v>
      </c>
      <c r="I33" s="11">
        <v>5469600.0500000007</v>
      </c>
      <c r="J33" s="11">
        <v>598321.80999999994</v>
      </c>
      <c r="K33" s="12">
        <v>27338202.740000002</v>
      </c>
    </row>
    <row r="34" spans="1:11" x14ac:dyDescent="0.2">
      <c r="A34" s="3"/>
      <c r="B34" s="3"/>
      <c r="C34" s="1" t="s">
        <v>15</v>
      </c>
      <c r="D34" s="1" t="s">
        <v>15</v>
      </c>
      <c r="E34" s="5" t="str">
        <f>D34</f>
        <v>COMPONENTE 2 - Ampliação do Acesso e Consolidação da RAS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</row>
    <row r="35" spans="1:11" x14ac:dyDescent="0.2">
      <c r="A35" s="3"/>
      <c r="B35" s="3"/>
      <c r="C35" s="3"/>
      <c r="D35" s="1" t="s">
        <v>28</v>
      </c>
      <c r="E35" s="26" t="s">
        <v>105</v>
      </c>
      <c r="F35" s="10">
        <v>0</v>
      </c>
      <c r="G35" s="11">
        <v>0</v>
      </c>
      <c r="H35" s="11">
        <v>0</v>
      </c>
      <c r="I35" s="11">
        <v>0</v>
      </c>
      <c r="J35" s="11">
        <v>0</v>
      </c>
      <c r="K35" s="12">
        <v>0</v>
      </c>
    </row>
    <row r="36" spans="1:11" x14ac:dyDescent="0.2">
      <c r="A36" s="3"/>
      <c r="B36" s="3"/>
      <c r="C36" s="3"/>
      <c r="D36" s="3"/>
      <c r="E36" s="6" t="s">
        <v>55</v>
      </c>
      <c r="F36" s="13">
        <v>1499999.99</v>
      </c>
      <c r="G36" s="14">
        <v>0</v>
      </c>
      <c r="H36" s="14">
        <v>0</v>
      </c>
      <c r="I36" s="14">
        <v>0</v>
      </c>
      <c r="J36" s="14">
        <v>0</v>
      </c>
      <c r="K36" s="15">
        <v>1499999.99</v>
      </c>
    </row>
    <row r="37" spans="1:11" x14ac:dyDescent="0.2">
      <c r="A37" s="3"/>
      <c r="B37" s="3"/>
      <c r="C37" s="3"/>
      <c r="D37" s="3"/>
      <c r="E37" s="6" t="s">
        <v>56</v>
      </c>
      <c r="F37" s="13">
        <v>3344680.8499999996</v>
      </c>
      <c r="G37" s="14">
        <v>6638297.8699999992</v>
      </c>
      <c r="H37" s="14">
        <v>6663829.7799999993</v>
      </c>
      <c r="I37" s="14">
        <v>6663829.7799999993</v>
      </c>
      <c r="J37" s="14">
        <v>6689361.6999999993</v>
      </c>
      <c r="K37" s="15">
        <v>29999999.979999997</v>
      </c>
    </row>
    <row r="38" spans="1:11" x14ac:dyDescent="0.2">
      <c r="A38" s="3"/>
      <c r="B38" s="3"/>
      <c r="C38" s="3"/>
      <c r="D38" s="3"/>
      <c r="E38" s="6" t="s">
        <v>57</v>
      </c>
      <c r="F38" s="13">
        <v>0</v>
      </c>
      <c r="G38" s="14">
        <v>0</v>
      </c>
      <c r="H38" s="14">
        <v>3004587.18</v>
      </c>
      <c r="I38" s="14">
        <v>5986238.5799999991</v>
      </c>
      <c r="J38" s="14">
        <v>6009174.3599999994</v>
      </c>
      <c r="K38" s="15">
        <v>15000000.119999999</v>
      </c>
    </row>
    <row r="39" spans="1:11" x14ac:dyDescent="0.2">
      <c r="A39" s="3"/>
      <c r="B39" s="3"/>
      <c r="C39" s="3"/>
      <c r="D39" s="26" t="s">
        <v>106</v>
      </c>
      <c r="E39" s="5" t="str">
        <f>D39</f>
        <v>P9. Hospital Regional Litoral-Jaguaribe construido e equipado Total</v>
      </c>
      <c r="F39" s="10">
        <v>4844680.84</v>
      </c>
      <c r="G39" s="11">
        <v>6638297.8699999992</v>
      </c>
      <c r="H39" s="11">
        <v>9668416.959999999</v>
      </c>
      <c r="I39" s="11">
        <v>12650068.359999999</v>
      </c>
      <c r="J39" s="11">
        <v>12698536.060000001</v>
      </c>
      <c r="K39" s="12">
        <v>46500000.089999996</v>
      </c>
    </row>
    <row r="40" spans="1:11" x14ac:dyDescent="0.2">
      <c r="A40" s="3"/>
      <c r="B40" s="3"/>
      <c r="C40" s="3"/>
      <c r="D40" s="1" t="s">
        <v>29</v>
      </c>
      <c r="E40" s="1" t="s">
        <v>29</v>
      </c>
      <c r="F40" s="10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</row>
    <row r="41" spans="1:11" x14ac:dyDescent="0.2">
      <c r="A41" s="3"/>
      <c r="B41" s="3"/>
      <c r="C41" s="3"/>
      <c r="D41" s="3"/>
      <c r="E41" s="6" t="s">
        <v>58</v>
      </c>
      <c r="F41" s="13">
        <v>499999.99</v>
      </c>
      <c r="G41" s="14">
        <v>0</v>
      </c>
      <c r="H41" s="14">
        <v>0</v>
      </c>
      <c r="I41" s="14">
        <v>0</v>
      </c>
      <c r="J41" s="14">
        <v>0</v>
      </c>
      <c r="K41" s="15">
        <v>499999.99</v>
      </c>
    </row>
    <row r="42" spans="1:11" x14ac:dyDescent="0.2">
      <c r="A42" s="3"/>
      <c r="B42" s="3"/>
      <c r="C42" s="3"/>
      <c r="D42" s="3"/>
      <c r="E42" s="6" t="s">
        <v>59</v>
      </c>
      <c r="F42" s="13">
        <v>752873.57000000007</v>
      </c>
      <c r="G42" s="14">
        <v>1494252.8900000001</v>
      </c>
      <c r="H42" s="14">
        <v>752873.58000000007</v>
      </c>
      <c r="I42" s="14">
        <v>0</v>
      </c>
      <c r="J42" s="14">
        <v>0</v>
      </c>
      <c r="K42" s="15">
        <v>3000000.04</v>
      </c>
    </row>
    <row r="43" spans="1:11" x14ac:dyDescent="0.2">
      <c r="A43" s="3"/>
      <c r="B43" s="3"/>
      <c r="C43" s="3"/>
      <c r="D43" s="3"/>
      <c r="E43" s="6" t="s">
        <v>60</v>
      </c>
      <c r="F43" s="13">
        <v>0</v>
      </c>
      <c r="G43" s="14">
        <v>0</v>
      </c>
      <c r="H43" s="14">
        <v>1833333.49</v>
      </c>
      <c r="I43" s="14">
        <v>1833333.49</v>
      </c>
      <c r="J43" s="14">
        <v>0</v>
      </c>
      <c r="K43" s="15">
        <v>3666666.98</v>
      </c>
    </row>
    <row r="44" spans="1:11" x14ac:dyDescent="0.2">
      <c r="A44" s="3"/>
      <c r="B44" s="3"/>
      <c r="C44" s="3"/>
      <c r="D44" s="1" t="s">
        <v>61</v>
      </c>
      <c r="E44" s="5" t="str">
        <f>D44</f>
        <v>P10. Policlínica de Fortaleza construida e equipada Total</v>
      </c>
      <c r="F44" s="10">
        <v>1252873.56</v>
      </c>
      <c r="G44" s="11">
        <v>1494252.8900000001</v>
      </c>
      <c r="H44" s="11">
        <v>2586207.0699999998</v>
      </c>
      <c r="I44" s="11">
        <v>1833333.49</v>
      </c>
      <c r="J44" s="11">
        <v>0</v>
      </c>
      <c r="K44" s="12">
        <v>7166667.0099999998</v>
      </c>
    </row>
    <row r="45" spans="1:11" x14ac:dyDescent="0.2">
      <c r="A45" s="3"/>
      <c r="B45" s="3"/>
      <c r="C45" s="3"/>
      <c r="D45" s="1" t="s">
        <v>30</v>
      </c>
      <c r="E45" s="1" t="s">
        <v>30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2">
        <v>0</v>
      </c>
    </row>
    <row r="46" spans="1:11" x14ac:dyDescent="0.2">
      <c r="A46" s="3"/>
      <c r="B46" s="3"/>
      <c r="C46" s="3"/>
      <c r="D46" s="3"/>
      <c r="E46" s="6" t="s">
        <v>62</v>
      </c>
      <c r="F46" s="13">
        <v>0</v>
      </c>
      <c r="G46" s="14">
        <v>1196319.01</v>
      </c>
      <c r="H46" s="14">
        <v>2401840.48</v>
      </c>
      <c r="I46" s="14">
        <v>2401840.48</v>
      </c>
      <c r="J46" s="14">
        <v>0</v>
      </c>
      <c r="K46" s="15">
        <v>5999999.9699999997</v>
      </c>
    </row>
    <row r="47" spans="1:11" x14ac:dyDescent="0.2">
      <c r="A47" s="3"/>
      <c r="B47" s="3"/>
      <c r="C47" s="3"/>
      <c r="D47" s="3"/>
      <c r="E47" s="6" t="s">
        <v>63</v>
      </c>
      <c r="F47" s="13">
        <v>0</v>
      </c>
      <c r="G47" s="14">
        <v>0</v>
      </c>
      <c r="H47" s="14">
        <v>4249999.99</v>
      </c>
      <c r="I47" s="14">
        <v>4249999.99</v>
      </c>
      <c r="J47" s="14">
        <v>0</v>
      </c>
      <c r="K47" s="15">
        <v>8499999.9800000004</v>
      </c>
    </row>
    <row r="48" spans="1:11" x14ac:dyDescent="0.2">
      <c r="A48" s="3"/>
      <c r="B48" s="3"/>
      <c r="C48" s="3"/>
      <c r="D48" s="1" t="s">
        <v>64</v>
      </c>
      <c r="E48" s="5" t="str">
        <f>D48</f>
        <v>P11. Serviços de atenção ao parto reformados e equipados Total</v>
      </c>
      <c r="F48" s="10">
        <v>0</v>
      </c>
      <c r="G48" s="11">
        <v>1196319.01</v>
      </c>
      <c r="H48" s="11">
        <v>6651840.4699999997</v>
      </c>
      <c r="I48" s="11">
        <v>6651840.4699999997</v>
      </c>
      <c r="J48" s="11">
        <v>0</v>
      </c>
      <c r="K48" s="12">
        <v>14499999.949999999</v>
      </c>
    </row>
    <row r="49" spans="1:11" x14ac:dyDescent="0.2">
      <c r="A49" s="3"/>
      <c r="B49" s="3"/>
      <c r="C49" s="3"/>
      <c r="D49" s="1" t="s">
        <v>31</v>
      </c>
      <c r="E49" s="1" t="s">
        <v>31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2">
        <v>0</v>
      </c>
    </row>
    <row r="50" spans="1:11" x14ac:dyDescent="0.2">
      <c r="A50" s="3"/>
      <c r="B50" s="3"/>
      <c r="C50" s="3"/>
      <c r="D50" s="3"/>
      <c r="E50" s="6" t="s">
        <v>65</v>
      </c>
      <c r="F50" s="13">
        <v>6095130</v>
      </c>
      <c r="G50" s="14">
        <v>0</v>
      </c>
      <c r="H50" s="14">
        <v>0</v>
      </c>
      <c r="I50" s="14">
        <v>0</v>
      </c>
      <c r="J50" s="14">
        <v>0</v>
      </c>
      <c r="K50" s="15">
        <v>6095130</v>
      </c>
    </row>
    <row r="51" spans="1:11" x14ac:dyDescent="0.2">
      <c r="A51" s="3"/>
      <c r="B51" s="3"/>
      <c r="C51" s="3"/>
      <c r="D51" s="3"/>
      <c r="E51" s="6" t="s">
        <v>66</v>
      </c>
      <c r="F51" s="13">
        <v>19778325.109999999</v>
      </c>
      <c r="G51" s="14">
        <v>23481116.579999998</v>
      </c>
      <c r="H51" s="14">
        <v>11740558.290000001</v>
      </c>
      <c r="I51" s="14">
        <v>0</v>
      </c>
      <c r="J51" s="14">
        <v>0</v>
      </c>
      <c r="K51" s="15">
        <v>54999999.979999997</v>
      </c>
    </row>
    <row r="52" spans="1:11" x14ac:dyDescent="0.2">
      <c r="A52" s="3"/>
      <c r="B52" s="3"/>
      <c r="C52" s="3"/>
      <c r="D52" s="3"/>
      <c r="E52" s="6" t="s">
        <v>67</v>
      </c>
      <c r="F52" s="13">
        <v>0</v>
      </c>
      <c r="G52" s="14">
        <v>2874999.99</v>
      </c>
      <c r="H52" s="14">
        <v>8624999.9700000007</v>
      </c>
      <c r="I52" s="14">
        <v>0</v>
      </c>
      <c r="J52" s="14">
        <v>0</v>
      </c>
      <c r="K52" s="15">
        <v>11499999.960000001</v>
      </c>
    </row>
    <row r="53" spans="1:11" x14ac:dyDescent="0.2">
      <c r="A53" s="3"/>
      <c r="B53" s="3"/>
      <c r="C53" s="3"/>
      <c r="D53" s="1" t="s">
        <v>68</v>
      </c>
      <c r="E53" s="5" t="str">
        <f>D53</f>
        <v>P12. Hospital Metropolitano construido e equipado Total</v>
      </c>
      <c r="F53" s="10">
        <v>25873455.109999999</v>
      </c>
      <c r="G53" s="11">
        <v>26356116.57</v>
      </c>
      <c r="H53" s="11">
        <v>20365558.260000005</v>
      </c>
      <c r="I53" s="11">
        <v>0</v>
      </c>
      <c r="J53" s="11">
        <v>0</v>
      </c>
      <c r="K53" s="12">
        <v>72595129.939999998</v>
      </c>
    </row>
    <row r="54" spans="1:11" x14ac:dyDescent="0.2">
      <c r="A54" s="3"/>
      <c r="B54" s="3"/>
      <c r="C54" s="1" t="s">
        <v>32</v>
      </c>
      <c r="D54" s="5"/>
      <c r="E54" s="5" t="str">
        <f>C54</f>
        <v>COMPONENTE 2 - Ampliação do Acesso e Consolidação da RAS Total</v>
      </c>
      <c r="F54" s="10">
        <v>31971009.509999998</v>
      </c>
      <c r="G54" s="11">
        <v>35684986.340000004</v>
      </c>
      <c r="H54" s="11">
        <v>39272022.760000005</v>
      </c>
      <c r="I54" s="11">
        <v>21135242.32</v>
      </c>
      <c r="J54" s="11">
        <v>12698536.060000001</v>
      </c>
      <c r="K54" s="12">
        <v>140761796.99000001</v>
      </c>
    </row>
    <row r="55" spans="1:11" x14ac:dyDescent="0.2">
      <c r="A55" s="3"/>
      <c r="B55" s="3"/>
      <c r="C55" s="1" t="s">
        <v>16</v>
      </c>
      <c r="D55" s="1" t="s">
        <v>16</v>
      </c>
      <c r="E55" s="5" t="str">
        <f>D55</f>
        <v>COMPONENTE 3 - Administração e Avaliação</v>
      </c>
      <c r="F55" s="10">
        <v>0</v>
      </c>
      <c r="G55" s="11">
        <v>0</v>
      </c>
      <c r="H55" s="11">
        <v>0</v>
      </c>
      <c r="I55" s="11">
        <v>0</v>
      </c>
      <c r="J55" s="11">
        <v>0</v>
      </c>
      <c r="K55" s="12">
        <v>0</v>
      </c>
    </row>
    <row r="56" spans="1:11" x14ac:dyDescent="0.2">
      <c r="A56" s="3"/>
      <c r="B56" s="3"/>
      <c r="C56" s="3"/>
      <c r="D56" s="1" t="s">
        <v>33</v>
      </c>
      <c r="E56" s="1" t="s">
        <v>33</v>
      </c>
      <c r="F56" s="10">
        <v>0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</row>
    <row r="57" spans="1:11" x14ac:dyDescent="0.2">
      <c r="A57" s="3"/>
      <c r="B57" s="3"/>
      <c r="C57" s="3"/>
      <c r="D57" s="3"/>
      <c r="E57" s="6" t="s">
        <v>69</v>
      </c>
      <c r="F57" s="13">
        <v>1700000.0099999998</v>
      </c>
      <c r="G57" s="14">
        <v>1693486.6</v>
      </c>
      <c r="H57" s="14">
        <v>1700000.0099999998</v>
      </c>
      <c r="I57" s="14">
        <v>1700000.0099999998</v>
      </c>
      <c r="J57" s="14">
        <v>1706513.42</v>
      </c>
      <c r="K57" s="15">
        <v>8500000.0499999989</v>
      </c>
    </row>
    <row r="58" spans="1:11" x14ac:dyDescent="0.2">
      <c r="A58" s="3"/>
      <c r="B58" s="3"/>
      <c r="C58" s="3"/>
      <c r="D58" s="3"/>
      <c r="E58" s="6" t="s">
        <v>70</v>
      </c>
      <c r="F58" s="13">
        <v>55744.67</v>
      </c>
      <c r="G58" s="14">
        <v>110638.27999999998</v>
      </c>
      <c r="H58" s="14">
        <v>111063.80999999998</v>
      </c>
      <c r="I58" s="14">
        <v>111063.80999999998</v>
      </c>
      <c r="J58" s="14">
        <v>111489.33999999998</v>
      </c>
      <c r="K58" s="15">
        <v>499999.90999999992</v>
      </c>
    </row>
    <row r="59" spans="1:11" x14ac:dyDescent="0.2">
      <c r="A59" s="3"/>
      <c r="B59" s="3"/>
      <c r="C59" s="3"/>
      <c r="D59" s="1" t="s">
        <v>71</v>
      </c>
      <c r="E59" s="5" t="str">
        <f>D59</f>
        <v>P13. Unidade Gestora do Programa Constituída - UGP Total</v>
      </c>
      <c r="F59" s="10">
        <v>1755744.6799999995</v>
      </c>
      <c r="G59" s="11">
        <v>1804124.8799999994</v>
      </c>
      <c r="H59" s="11">
        <v>1811063.8199999991</v>
      </c>
      <c r="I59" s="11">
        <v>1811063.8199999991</v>
      </c>
      <c r="J59" s="11">
        <v>1818002.7599999993</v>
      </c>
      <c r="K59" s="12">
        <v>8999999.9599999972</v>
      </c>
    </row>
    <row r="60" spans="1:11" x14ac:dyDescent="0.2">
      <c r="A60" s="3"/>
      <c r="B60" s="3"/>
      <c r="C60" s="3"/>
      <c r="D60" s="1" t="s">
        <v>34</v>
      </c>
      <c r="E60" s="1" t="s">
        <v>34</v>
      </c>
      <c r="F60" s="10">
        <v>0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</row>
    <row r="61" spans="1:11" x14ac:dyDescent="0.2">
      <c r="A61" s="3"/>
      <c r="B61" s="3"/>
      <c r="C61" s="3"/>
      <c r="D61" s="3"/>
      <c r="E61" s="6" t="s">
        <v>72</v>
      </c>
      <c r="F61" s="13">
        <v>0</v>
      </c>
      <c r="G61" s="14">
        <v>0</v>
      </c>
      <c r="H61" s="14">
        <v>30000</v>
      </c>
      <c r="I61" s="14">
        <v>0</v>
      </c>
      <c r="J61" s="14">
        <v>0</v>
      </c>
      <c r="K61" s="15">
        <v>30000</v>
      </c>
    </row>
    <row r="62" spans="1:11" x14ac:dyDescent="0.2">
      <c r="A62" s="3"/>
      <c r="B62" s="3"/>
      <c r="C62" s="3"/>
      <c r="D62" s="3"/>
      <c r="E62" s="6" t="s">
        <v>73</v>
      </c>
      <c r="F62" s="13">
        <v>0</v>
      </c>
      <c r="G62" s="14">
        <v>0</v>
      </c>
      <c r="H62" s="14">
        <v>0</v>
      </c>
      <c r="I62" s="14">
        <v>0</v>
      </c>
      <c r="J62" s="14">
        <v>70000</v>
      </c>
      <c r="K62" s="15">
        <v>70000</v>
      </c>
    </row>
    <row r="63" spans="1:11" x14ac:dyDescent="0.2">
      <c r="A63" s="3"/>
      <c r="B63" s="3"/>
      <c r="C63" s="3"/>
      <c r="D63" s="1" t="s">
        <v>74</v>
      </c>
      <c r="E63" s="5" t="str">
        <f>D63</f>
        <v>P14.Avaliaçoes intermediária e final desenvolvidas Total</v>
      </c>
      <c r="F63" s="10">
        <v>0</v>
      </c>
      <c r="G63" s="11">
        <v>0</v>
      </c>
      <c r="H63" s="11">
        <v>30000</v>
      </c>
      <c r="I63" s="11">
        <v>0</v>
      </c>
      <c r="J63" s="11">
        <v>70000</v>
      </c>
      <c r="K63" s="12">
        <v>100000</v>
      </c>
    </row>
    <row r="64" spans="1:11" x14ac:dyDescent="0.2">
      <c r="A64" s="3"/>
      <c r="B64" s="3"/>
      <c r="C64" s="3"/>
      <c r="D64" s="1" t="s">
        <v>35</v>
      </c>
      <c r="E64" s="1" t="s">
        <v>35</v>
      </c>
      <c r="F64" s="10">
        <v>0</v>
      </c>
      <c r="G64" s="11">
        <v>0</v>
      </c>
      <c r="H64" s="11">
        <v>0</v>
      </c>
      <c r="I64" s="11">
        <v>0</v>
      </c>
      <c r="J64" s="11">
        <v>0</v>
      </c>
      <c r="K64" s="12">
        <v>0</v>
      </c>
    </row>
    <row r="65" spans="1:11" x14ac:dyDescent="0.2">
      <c r="A65" s="3"/>
      <c r="B65" s="3"/>
      <c r="C65" s="3"/>
      <c r="D65" s="3"/>
      <c r="E65" s="6" t="s">
        <v>75</v>
      </c>
      <c r="F65" s="13">
        <v>89191.47</v>
      </c>
      <c r="G65" s="14">
        <v>177021.24</v>
      </c>
      <c r="H65" s="14">
        <v>177702.09</v>
      </c>
      <c r="I65" s="14">
        <v>177702.09</v>
      </c>
      <c r="J65" s="14">
        <v>178382.94</v>
      </c>
      <c r="K65" s="15">
        <v>799999.83</v>
      </c>
    </row>
    <row r="66" spans="1:11" x14ac:dyDescent="0.2">
      <c r="A66" s="3"/>
      <c r="B66" s="3"/>
      <c r="C66" s="3"/>
      <c r="D66" s="1" t="s">
        <v>76</v>
      </c>
      <c r="E66" s="5" t="str">
        <f>D66</f>
        <v>P15. Avaliação de impacto realizada Total</v>
      </c>
      <c r="F66" s="10">
        <v>89191.47</v>
      </c>
      <c r="G66" s="11">
        <v>177021.24</v>
      </c>
      <c r="H66" s="11">
        <v>177702.09</v>
      </c>
      <c r="I66" s="11">
        <v>177702.09</v>
      </c>
      <c r="J66" s="11">
        <v>178382.94</v>
      </c>
      <c r="K66" s="12">
        <v>799999.83</v>
      </c>
    </row>
    <row r="67" spans="1:11" x14ac:dyDescent="0.2">
      <c r="A67" s="3"/>
      <c r="B67" s="3"/>
      <c r="C67" s="1" t="s">
        <v>36</v>
      </c>
      <c r="D67" s="5"/>
      <c r="E67" s="5" t="str">
        <f>C67</f>
        <v>COMPONENTE 3 - Administração e Avaliação Total</v>
      </c>
      <c r="F67" s="10">
        <v>1844936.1499999994</v>
      </c>
      <c r="G67" s="11">
        <v>1981146.1199999994</v>
      </c>
      <c r="H67" s="11">
        <v>2018765.9099999992</v>
      </c>
      <c r="I67" s="11">
        <v>1988765.9099999992</v>
      </c>
      <c r="J67" s="11">
        <v>2066385.6999999993</v>
      </c>
      <c r="K67" s="12">
        <v>9899999.7899999972</v>
      </c>
    </row>
    <row r="68" spans="1:11" x14ac:dyDescent="0.2">
      <c r="A68" s="3"/>
      <c r="B68" s="1" t="s">
        <v>17</v>
      </c>
      <c r="C68" s="5"/>
      <c r="D68" s="5"/>
      <c r="E68" s="5" t="str">
        <f>B68</f>
        <v>Programa de Expansão e Melhoria da Assistência Especializada a Saúde - PROEXMAES II Total</v>
      </c>
      <c r="F68" s="10">
        <v>41530430.130000003</v>
      </c>
      <c r="G68" s="11">
        <v>44989758.990000002</v>
      </c>
      <c r="H68" s="11">
        <v>47522958.550000004</v>
      </c>
      <c r="I68" s="11">
        <v>28593608.279999997</v>
      </c>
      <c r="J68" s="11">
        <v>15363243.57</v>
      </c>
      <c r="K68" s="12">
        <v>177999999.52000001</v>
      </c>
    </row>
    <row r="69" spans="1:11" x14ac:dyDescent="0.2">
      <c r="A69" s="1" t="s">
        <v>12</v>
      </c>
      <c r="B69" s="5"/>
      <c r="C69" s="5"/>
      <c r="D69" s="5"/>
      <c r="E69" s="5"/>
      <c r="F69" s="10">
        <v>41530430.130000003</v>
      </c>
      <c r="G69" s="11">
        <v>44989758.990000002</v>
      </c>
      <c r="H69" s="11">
        <v>47522958.550000004</v>
      </c>
      <c r="I69" s="11">
        <v>28593608.279999997</v>
      </c>
      <c r="J69" s="11">
        <v>15363243.57</v>
      </c>
      <c r="K69" s="12">
        <v>177999999.52000001</v>
      </c>
    </row>
    <row r="70" spans="1:11" x14ac:dyDescent="0.2">
      <c r="A70" s="4" t="s">
        <v>7</v>
      </c>
      <c r="B70" s="7"/>
      <c r="C70" s="7"/>
      <c r="D70" s="7"/>
      <c r="E70" s="7"/>
      <c r="F70" s="16">
        <v>41530430.130000003</v>
      </c>
      <c r="G70" s="17">
        <v>44989758.990000002</v>
      </c>
      <c r="H70" s="17">
        <v>47522958.550000004</v>
      </c>
      <c r="I70" s="17">
        <v>28593608.279999997</v>
      </c>
      <c r="J70" s="17">
        <v>15363243.57</v>
      </c>
      <c r="K70" s="18">
        <v>177999999.52000001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72"/>
  <sheetViews>
    <sheetView topLeftCell="B48" workbookViewId="0">
      <selection activeCell="I44" sqref="I44"/>
    </sheetView>
  </sheetViews>
  <sheetFormatPr defaultColWidth="8.85546875" defaultRowHeight="12.75" x14ac:dyDescent="0.2"/>
  <cols>
    <col min="1" max="1" width="19.7109375" customWidth="1"/>
    <col min="2" max="3" width="34.42578125" customWidth="1"/>
    <col min="4" max="4" width="77.42578125" customWidth="1"/>
    <col min="5" max="5" width="56.42578125" style="14" customWidth="1"/>
    <col min="6" max="6" width="11.140625" style="14" customWidth="1"/>
    <col min="7" max="11" width="11.140625" style="14" bestFit="1" customWidth="1"/>
    <col min="12" max="12" width="11.140625" style="14" customWidth="1"/>
    <col min="13" max="14" width="12.140625" bestFit="1" customWidth="1"/>
    <col min="15" max="16" width="14.42578125" customWidth="1"/>
    <col min="17" max="23" width="14.42578125" bestFit="1" customWidth="1"/>
    <col min="24" max="25" width="14.42578125" customWidth="1"/>
    <col min="26" max="28" width="14.42578125" bestFit="1" customWidth="1"/>
    <col min="29" max="29" width="14.42578125" customWidth="1"/>
    <col min="30" max="30" width="14.42578125" bestFit="1" customWidth="1"/>
    <col min="31" max="31" width="14.42578125" customWidth="1"/>
    <col min="32" max="34" width="14.42578125" bestFit="1" customWidth="1"/>
    <col min="35" max="35" width="8" customWidth="1"/>
    <col min="36" max="36" width="17.7109375" bestFit="1" customWidth="1"/>
    <col min="37" max="37" width="8.42578125" customWidth="1"/>
    <col min="38" max="40" width="14.42578125" bestFit="1" customWidth="1"/>
    <col min="41" max="41" width="9.42578125" bestFit="1" customWidth="1"/>
    <col min="42" max="42" width="19.28515625" bestFit="1" customWidth="1"/>
    <col min="43" max="43" width="10" bestFit="1" customWidth="1"/>
    <col min="44" max="44" width="9.42578125" bestFit="1" customWidth="1"/>
    <col min="45" max="45" width="19.28515625" bestFit="1" customWidth="1"/>
    <col min="46" max="46" width="10" bestFit="1" customWidth="1"/>
    <col min="257" max="257" width="19.7109375" customWidth="1"/>
    <col min="258" max="259" width="34.42578125" customWidth="1"/>
    <col min="260" max="260" width="77.42578125" customWidth="1"/>
    <col min="261" max="261" width="49.140625" customWidth="1"/>
    <col min="262" max="262" width="11.140625" customWidth="1"/>
    <col min="263" max="267" width="11.140625" bestFit="1" customWidth="1"/>
    <col min="268" max="268" width="11.140625" customWidth="1"/>
    <col min="269" max="270" width="12.140625" bestFit="1" customWidth="1"/>
    <col min="271" max="272" width="14.42578125" customWidth="1"/>
    <col min="273" max="279" width="14.42578125" bestFit="1" customWidth="1"/>
    <col min="280" max="281" width="14.42578125" customWidth="1"/>
    <col min="282" max="284" width="14.42578125" bestFit="1" customWidth="1"/>
    <col min="285" max="285" width="14.42578125" customWidth="1"/>
    <col min="286" max="286" width="14.42578125" bestFit="1" customWidth="1"/>
    <col min="287" max="287" width="14.42578125" customWidth="1"/>
    <col min="288" max="290" width="14.42578125" bestFit="1" customWidth="1"/>
    <col min="291" max="291" width="8" customWidth="1"/>
    <col min="292" max="292" width="17.7109375" bestFit="1" customWidth="1"/>
    <col min="293" max="293" width="8.42578125" customWidth="1"/>
    <col min="294" max="296" width="14.42578125" bestFit="1" customWidth="1"/>
    <col min="297" max="297" width="9.42578125" bestFit="1" customWidth="1"/>
    <col min="298" max="298" width="19.28515625" bestFit="1" customWidth="1"/>
    <col min="299" max="299" width="10" bestFit="1" customWidth="1"/>
    <col min="300" max="300" width="9.42578125" bestFit="1" customWidth="1"/>
    <col min="301" max="301" width="19.28515625" bestFit="1" customWidth="1"/>
    <col min="302" max="302" width="10" bestFit="1" customWidth="1"/>
    <col min="513" max="513" width="19.7109375" customWidth="1"/>
    <col min="514" max="515" width="34.42578125" customWidth="1"/>
    <col min="516" max="516" width="77.42578125" customWidth="1"/>
    <col min="517" max="517" width="49.140625" customWidth="1"/>
    <col min="518" max="518" width="11.140625" customWidth="1"/>
    <col min="519" max="523" width="11.140625" bestFit="1" customWidth="1"/>
    <col min="524" max="524" width="11.140625" customWidth="1"/>
    <col min="525" max="526" width="12.140625" bestFit="1" customWidth="1"/>
    <col min="527" max="528" width="14.42578125" customWidth="1"/>
    <col min="529" max="535" width="14.42578125" bestFit="1" customWidth="1"/>
    <col min="536" max="537" width="14.42578125" customWidth="1"/>
    <col min="538" max="540" width="14.42578125" bestFit="1" customWidth="1"/>
    <col min="541" max="541" width="14.42578125" customWidth="1"/>
    <col min="542" max="542" width="14.42578125" bestFit="1" customWidth="1"/>
    <col min="543" max="543" width="14.42578125" customWidth="1"/>
    <col min="544" max="546" width="14.42578125" bestFit="1" customWidth="1"/>
    <col min="547" max="547" width="8" customWidth="1"/>
    <col min="548" max="548" width="17.7109375" bestFit="1" customWidth="1"/>
    <col min="549" max="549" width="8.42578125" customWidth="1"/>
    <col min="550" max="552" width="14.42578125" bestFit="1" customWidth="1"/>
    <col min="553" max="553" width="9.42578125" bestFit="1" customWidth="1"/>
    <col min="554" max="554" width="19.28515625" bestFit="1" customWidth="1"/>
    <col min="555" max="555" width="10" bestFit="1" customWidth="1"/>
    <col min="556" max="556" width="9.42578125" bestFit="1" customWidth="1"/>
    <col min="557" max="557" width="19.28515625" bestFit="1" customWidth="1"/>
    <col min="558" max="558" width="10" bestFit="1" customWidth="1"/>
    <col min="769" max="769" width="19.7109375" customWidth="1"/>
    <col min="770" max="771" width="34.42578125" customWidth="1"/>
    <col min="772" max="772" width="77.42578125" customWidth="1"/>
    <col min="773" max="773" width="49.140625" customWidth="1"/>
    <col min="774" max="774" width="11.140625" customWidth="1"/>
    <col min="775" max="779" width="11.140625" bestFit="1" customWidth="1"/>
    <col min="780" max="780" width="11.140625" customWidth="1"/>
    <col min="781" max="782" width="12.140625" bestFit="1" customWidth="1"/>
    <col min="783" max="784" width="14.42578125" customWidth="1"/>
    <col min="785" max="791" width="14.42578125" bestFit="1" customWidth="1"/>
    <col min="792" max="793" width="14.42578125" customWidth="1"/>
    <col min="794" max="796" width="14.42578125" bestFit="1" customWidth="1"/>
    <col min="797" max="797" width="14.42578125" customWidth="1"/>
    <col min="798" max="798" width="14.42578125" bestFit="1" customWidth="1"/>
    <col min="799" max="799" width="14.42578125" customWidth="1"/>
    <col min="800" max="802" width="14.42578125" bestFit="1" customWidth="1"/>
    <col min="803" max="803" width="8" customWidth="1"/>
    <col min="804" max="804" width="17.7109375" bestFit="1" customWidth="1"/>
    <col min="805" max="805" width="8.42578125" customWidth="1"/>
    <col min="806" max="808" width="14.42578125" bestFit="1" customWidth="1"/>
    <col min="809" max="809" width="9.42578125" bestFit="1" customWidth="1"/>
    <col min="810" max="810" width="19.28515625" bestFit="1" customWidth="1"/>
    <col min="811" max="811" width="10" bestFit="1" customWidth="1"/>
    <col min="812" max="812" width="9.42578125" bestFit="1" customWidth="1"/>
    <col min="813" max="813" width="19.28515625" bestFit="1" customWidth="1"/>
    <col min="814" max="814" width="10" bestFit="1" customWidth="1"/>
    <col min="1025" max="1025" width="19.7109375" customWidth="1"/>
    <col min="1026" max="1027" width="34.42578125" customWidth="1"/>
    <col min="1028" max="1028" width="77.42578125" customWidth="1"/>
    <col min="1029" max="1029" width="49.140625" customWidth="1"/>
    <col min="1030" max="1030" width="11.140625" customWidth="1"/>
    <col min="1031" max="1035" width="11.140625" bestFit="1" customWidth="1"/>
    <col min="1036" max="1036" width="11.140625" customWidth="1"/>
    <col min="1037" max="1038" width="12.140625" bestFit="1" customWidth="1"/>
    <col min="1039" max="1040" width="14.42578125" customWidth="1"/>
    <col min="1041" max="1047" width="14.42578125" bestFit="1" customWidth="1"/>
    <col min="1048" max="1049" width="14.42578125" customWidth="1"/>
    <col min="1050" max="1052" width="14.42578125" bestFit="1" customWidth="1"/>
    <col min="1053" max="1053" width="14.42578125" customWidth="1"/>
    <col min="1054" max="1054" width="14.42578125" bestFit="1" customWidth="1"/>
    <col min="1055" max="1055" width="14.42578125" customWidth="1"/>
    <col min="1056" max="1058" width="14.42578125" bestFit="1" customWidth="1"/>
    <col min="1059" max="1059" width="8" customWidth="1"/>
    <col min="1060" max="1060" width="17.7109375" bestFit="1" customWidth="1"/>
    <col min="1061" max="1061" width="8.42578125" customWidth="1"/>
    <col min="1062" max="1064" width="14.42578125" bestFit="1" customWidth="1"/>
    <col min="1065" max="1065" width="9.42578125" bestFit="1" customWidth="1"/>
    <col min="1066" max="1066" width="19.28515625" bestFit="1" customWidth="1"/>
    <col min="1067" max="1067" width="10" bestFit="1" customWidth="1"/>
    <col min="1068" max="1068" width="9.42578125" bestFit="1" customWidth="1"/>
    <col min="1069" max="1069" width="19.28515625" bestFit="1" customWidth="1"/>
    <col min="1070" max="1070" width="10" bestFit="1" customWidth="1"/>
    <col min="1281" max="1281" width="19.7109375" customWidth="1"/>
    <col min="1282" max="1283" width="34.42578125" customWidth="1"/>
    <col min="1284" max="1284" width="77.42578125" customWidth="1"/>
    <col min="1285" max="1285" width="49.140625" customWidth="1"/>
    <col min="1286" max="1286" width="11.140625" customWidth="1"/>
    <col min="1287" max="1291" width="11.140625" bestFit="1" customWidth="1"/>
    <col min="1292" max="1292" width="11.140625" customWidth="1"/>
    <col min="1293" max="1294" width="12.140625" bestFit="1" customWidth="1"/>
    <col min="1295" max="1296" width="14.42578125" customWidth="1"/>
    <col min="1297" max="1303" width="14.42578125" bestFit="1" customWidth="1"/>
    <col min="1304" max="1305" width="14.42578125" customWidth="1"/>
    <col min="1306" max="1308" width="14.42578125" bestFit="1" customWidth="1"/>
    <col min="1309" max="1309" width="14.42578125" customWidth="1"/>
    <col min="1310" max="1310" width="14.42578125" bestFit="1" customWidth="1"/>
    <col min="1311" max="1311" width="14.42578125" customWidth="1"/>
    <col min="1312" max="1314" width="14.42578125" bestFit="1" customWidth="1"/>
    <col min="1315" max="1315" width="8" customWidth="1"/>
    <col min="1316" max="1316" width="17.7109375" bestFit="1" customWidth="1"/>
    <col min="1317" max="1317" width="8.42578125" customWidth="1"/>
    <col min="1318" max="1320" width="14.42578125" bestFit="1" customWidth="1"/>
    <col min="1321" max="1321" width="9.42578125" bestFit="1" customWidth="1"/>
    <col min="1322" max="1322" width="19.28515625" bestFit="1" customWidth="1"/>
    <col min="1323" max="1323" width="10" bestFit="1" customWidth="1"/>
    <col min="1324" max="1324" width="9.42578125" bestFit="1" customWidth="1"/>
    <col min="1325" max="1325" width="19.28515625" bestFit="1" customWidth="1"/>
    <col min="1326" max="1326" width="10" bestFit="1" customWidth="1"/>
    <col min="1537" max="1537" width="19.7109375" customWidth="1"/>
    <col min="1538" max="1539" width="34.42578125" customWidth="1"/>
    <col min="1540" max="1540" width="77.42578125" customWidth="1"/>
    <col min="1541" max="1541" width="49.140625" customWidth="1"/>
    <col min="1542" max="1542" width="11.140625" customWidth="1"/>
    <col min="1543" max="1547" width="11.140625" bestFit="1" customWidth="1"/>
    <col min="1548" max="1548" width="11.140625" customWidth="1"/>
    <col min="1549" max="1550" width="12.140625" bestFit="1" customWidth="1"/>
    <col min="1551" max="1552" width="14.42578125" customWidth="1"/>
    <col min="1553" max="1559" width="14.42578125" bestFit="1" customWidth="1"/>
    <col min="1560" max="1561" width="14.42578125" customWidth="1"/>
    <col min="1562" max="1564" width="14.42578125" bestFit="1" customWidth="1"/>
    <col min="1565" max="1565" width="14.42578125" customWidth="1"/>
    <col min="1566" max="1566" width="14.42578125" bestFit="1" customWidth="1"/>
    <col min="1567" max="1567" width="14.42578125" customWidth="1"/>
    <col min="1568" max="1570" width="14.42578125" bestFit="1" customWidth="1"/>
    <col min="1571" max="1571" width="8" customWidth="1"/>
    <col min="1572" max="1572" width="17.7109375" bestFit="1" customWidth="1"/>
    <col min="1573" max="1573" width="8.42578125" customWidth="1"/>
    <col min="1574" max="1576" width="14.42578125" bestFit="1" customWidth="1"/>
    <col min="1577" max="1577" width="9.42578125" bestFit="1" customWidth="1"/>
    <col min="1578" max="1578" width="19.28515625" bestFit="1" customWidth="1"/>
    <col min="1579" max="1579" width="10" bestFit="1" customWidth="1"/>
    <col min="1580" max="1580" width="9.42578125" bestFit="1" customWidth="1"/>
    <col min="1581" max="1581" width="19.28515625" bestFit="1" customWidth="1"/>
    <col min="1582" max="1582" width="10" bestFit="1" customWidth="1"/>
    <col min="1793" max="1793" width="19.7109375" customWidth="1"/>
    <col min="1794" max="1795" width="34.42578125" customWidth="1"/>
    <col min="1796" max="1796" width="77.42578125" customWidth="1"/>
    <col min="1797" max="1797" width="49.140625" customWidth="1"/>
    <col min="1798" max="1798" width="11.140625" customWidth="1"/>
    <col min="1799" max="1803" width="11.140625" bestFit="1" customWidth="1"/>
    <col min="1804" max="1804" width="11.140625" customWidth="1"/>
    <col min="1805" max="1806" width="12.140625" bestFit="1" customWidth="1"/>
    <col min="1807" max="1808" width="14.42578125" customWidth="1"/>
    <col min="1809" max="1815" width="14.42578125" bestFit="1" customWidth="1"/>
    <col min="1816" max="1817" width="14.42578125" customWidth="1"/>
    <col min="1818" max="1820" width="14.42578125" bestFit="1" customWidth="1"/>
    <col min="1821" max="1821" width="14.42578125" customWidth="1"/>
    <col min="1822" max="1822" width="14.42578125" bestFit="1" customWidth="1"/>
    <col min="1823" max="1823" width="14.42578125" customWidth="1"/>
    <col min="1824" max="1826" width="14.42578125" bestFit="1" customWidth="1"/>
    <col min="1827" max="1827" width="8" customWidth="1"/>
    <col min="1828" max="1828" width="17.7109375" bestFit="1" customWidth="1"/>
    <col min="1829" max="1829" width="8.42578125" customWidth="1"/>
    <col min="1830" max="1832" width="14.42578125" bestFit="1" customWidth="1"/>
    <col min="1833" max="1833" width="9.42578125" bestFit="1" customWidth="1"/>
    <col min="1834" max="1834" width="19.28515625" bestFit="1" customWidth="1"/>
    <col min="1835" max="1835" width="10" bestFit="1" customWidth="1"/>
    <col min="1836" max="1836" width="9.42578125" bestFit="1" customWidth="1"/>
    <col min="1837" max="1837" width="19.28515625" bestFit="1" customWidth="1"/>
    <col min="1838" max="1838" width="10" bestFit="1" customWidth="1"/>
    <col min="2049" max="2049" width="19.7109375" customWidth="1"/>
    <col min="2050" max="2051" width="34.42578125" customWidth="1"/>
    <col min="2052" max="2052" width="77.42578125" customWidth="1"/>
    <col min="2053" max="2053" width="49.140625" customWidth="1"/>
    <col min="2054" max="2054" width="11.140625" customWidth="1"/>
    <col min="2055" max="2059" width="11.140625" bestFit="1" customWidth="1"/>
    <col min="2060" max="2060" width="11.140625" customWidth="1"/>
    <col min="2061" max="2062" width="12.140625" bestFit="1" customWidth="1"/>
    <col min="2063" max="2064" width="14.42578125" customWidth="1"/>
    <col min="2065" max="2071" width="14.42578125" bestFit="1" customWidth="1"/>
    <col min="2072" max="2073" width="14.42578125" customWidth="1"/>
    <col min="2074" max="2076" width="14.42578125" bestFit="1" customWidth="1"/>
    <col min="2077" max="2077" width="14.42578125" customWidth="1"/>
    <col min="2078" max="2078" width="14.42578125" bestFit="1" customWidth="1"/>
    <col min="2079" max="2079" width="14.42578125" customWidth="1"/>
    <col min="2080" max="2082" width="14.42578125" bestFit="1" customWidth="1"/>
    <col min="2083" max="2083" width="8" customWidth="1"/>
    <col min="2084" max="2084" width="17.7109375" bestFit="1" customWidth="1"/>
    <col min="2085" max="2085" width="8.42578125" customWidth="1"/>
    <col min="2086" max="2088" width="14.42578125" bestFit="1" customWidth="1"/>
    <col min="2089" max="2089" width="9.42578125" bestFit="1" customWidth="1"/>
    <col min="2090" max="2090" width="19.28515625" bestFit="1" customWidth="1"/>
    <col min="2091" max="2091" width="10" bestFit="1" customWidth="1"/>
    <col min="2092" max="2092" width="9.42578125" bestFit="1" customWidth="1"/>
    <col min="2093" max="2093" width="19.28515625" bestFit="1" customWidth="1"/>
    <col min="2094" max="2094" width="10" bestFit="1" customWidth="1"/>
    <col min="2305" max="2305" width="19.7109375" customWidth="1"/>
    <col min="2306" max="2307" width="34.42578125" customWidth="1"/>
    <col min="2308" max="2308" width="77.42578125" customWidth="1"/>
    <col min="2309" max="2309" width="49.140625" customWidth="1"/>
    <col min="2310" max="2310" width="11.140625" customWidth="1"/>
    <col min="2311" max="2315" width="11.140625" bestFit="1" customWidth="1"/>
    <col min="2316" max="2316" width="11.140625" customWidth="1"/>
    <col min="2317" max="2318" width="12.140625" bestFit="1" customWidth="1"/>
    <col min="2319" max="2320" width="14.42578125" customWidth="1"/>
    <col min="2321" max="2327" width="14.42578125" bestFit="1" customWidth="1"/>
    <col min="2328" max="2329" width="14.42578125" customWidth="1"/>
    <col min="2330" max="2332" width="14.42578125" bestFit="1" customWidth="1"/>
    <col min="2333" max="2333" width="14.42578125" customWidth="1"/>
    <col min="2334" max="2334" width="14.42578125" bestFit="1" customWidth="1"/>
    <col min="2335" max="2335" width="14.42578125" customWidth="1"/>
    <col min="2336" max="2338" width="14.42578125" bestFit="1" customWidth="1"/>
    <col min="2339" max="2339" width="8" customWidth="1"/>
    <col min="2340" max="2340" width="17.7109375" bestFit="1" customWidth="1"/>
    <col min="2341" max="2341" width="8.42578125" customWidth="1"/>
    <col min="2342" max="2344" width="14.42578125" bestFit="1" customWidth="1"/>
    <col min="2345" max="2345" width="9.42578125" bestFit="1" customWidth="1"/>
    <col min="2346" max="2346" width="19.28515625" bestFit="1" customWidth="1"/>
    <col min="2347" max="2347" width="10" bestFit="1" customWidth="1"/>
    <col min="2348" max="2348" width="9.42578125" bestFit="1" customWidth="1"/>
    <col min="2349" max="2349" width="19.28515625" bestFit="1" customWidth="1"/>
    <col min="2350" max="2350" width="10" bestFit="1" customWidth="1"/>
    <col min="2561" max="2561" width="19.7109375" customWidth="1"/>
    <col min="2562" max="2563" width="34.42578125" customWidth="1"/>
    <col min="2564" max="2564" width="77.42578125" customWidth="1"/>
    <col min="2565" max="2565" width="49.140625" customWidth="1"/>
    <col min="2566" max="2566" width="11.140625" customWidth="1"/>
    <col min="2567" max="2571" width="11.140625" bestFit="1" customWidth="1"/>
    <col min="2572" max="2572" width="11.140625" customWidth="1"/>
    <col min="2573" max="2574" width="12.140625" bestFit="1" customWidth="1"/>
    <col min="2575" max="2576" width="14.42578125" customWidth="1"/>
    <col min="2577" max="2583" width="14.42578125" bestFit="1" customWidth="1"/>
    <col min="2584" max="2585" width="14.42578125" customWidth="1"/>
    <col min="2586" max="2588" width="14.42578125" bestFit="1" customWidth="1"/>
    <col min="2589" max="2589" width="14.42578125" customWidth="1"/>
    <col min="2590" max="2590" width="14.42578125" bestFit="1" customWidth="1"/>
    <col min="2591" max="2591" width="14.42578125" customWidth="1"/>
    <col min="2592" max="2594" width="14.42578125" bestFit="1" customWidth="1"/>
    <col min="2595" max="2595" width="8" customWidth="1"/>
    <col min="2596" max="2596" width="17.7109375" bestFit="1" customWidth="1"/>
    <col min="2597" max="2597" width="8.42578125" customWidth="1"/>
    <col min="2598" max="2600" width="14.42578125" bestFit="1" customWidth="1"/>
    <col min="2601" max="2601" width="9.42578125" bestFit="1" customWidth="1"/>
    <col min="2602" max="2602" width="19.28515625" bestFit="1" customWidth="1"/>
    <col min="2603" max="2603" width="10" bestFit="1" customWidth="1"/>
    <col min="2604" max="2604" width="9.42578125" bestFit="1" customWidth="1"/>
    <col min="2605" max="2605" width="19.28515625" bestFit="1" customWidth="1"/>
    <col min="2606" max="2606" width="10" bestFit="1" customWidth="1"/>
    <col min="2817" max="2817" width="19.7109375" customWidth="1"/>
    <col min="2818" max="2819" width="34.42578125" customWidth="1"/>
    <col min="2820" max="2820" width="77.42578125" customWidth="1"/>
    <col min="2821" max="2821" width="49.140625" customWidth="1"/>
    <col min="2822" max="2822" width="11.140625" customWidth="1"/>
    <col min="2823" max="2827" width="11.140625" bestFit="1" customWidth="1"/>
    <col min="2828" max="2828" width="11.140625" customWidth="1"/>
    <col min="2829" max="2830" width="12.140625" bestFit="1" customWidth="1"/>
    <col min="2831" max="2832" width="14.42578125" customWidth="1"/>
    <col min="2833" max="2839" width="14.42578125" bestFit="1" customWidth="1"/>
    <col min="2840" max="2841" width="14.42578125" customWidth="1"/>
    <col min="2842" max="2844" width="14.42578125" bestFit="1" customWidth="1"/>
    <col min="2845" max="2845" width="14.42578125" customWidth="1"/>
    <col min="2846" max="2846" width="14.42578125" bestFit="1" customWidth="1"/>
    <col min="2847" max="2847" width="14.42578125" customWidth="1"/>
    <col min="2848" max="2850" width="14.42578125" bestFit="1" customWidth="1"/>
    <col min="2851" max="2851" width="8" customWidth="1"/>
    <col min="2852" max="2852" width="17.7109375" bestFit="1" customWidth="1"/>
    <col min="2853" max="2853" width="8.42578125" customWidth="1"/>
    <col min="2854" max="2856" width="14.42578125" bestFit="1" customWidth="1"/>
    <col min="2857" max="2857" width="9.42578125" bestFit="1" customWidth="1"/>
    <col min="2858" max="2858" width="19.28515625" bestFit="1" customWidth="1"/>
    <col min="2859" max="2859" width="10" bestFit="1" customWidth="1"/>
    <col min="2860" max="2860" width="9.42578125" bestFit="1" customWidth="1"/>
    <col min="2861" max="2861" width="19.28515625" bestFit="1" customWidth="1"/>
    <col min="2862" max="2862" width="10" bestFit="1" customWidth="1"/>
    <col min="3073" max="3073" width="19.7109375" customWidth="1"/>
    <col min="3074" max="3075" width="34.42578125" customWidth="1"/>
    <col min="3076" max="3076" width="77.42578125" customWidth="1"/>
    <col min="3077" max="3077" width="49.140625" customWidth="1"/>
    <col min="3078" max="3078" width="11.140625" customWidth="1"/>
    <col min="3079" max="3083" width="11.140625" bestFit="1" customWidth="1"/>
    <col min="3084" max="3084" width="11.140625" customWidth="1"/>
    <col min="3085" max="3086" width="12.140625" bestFit="1" customWidth="1"/>
    <col min="3087" max="3088" width="14.42578125" customWidth="1"/>
    <col min="3089" max="3095" width="14.42578125" bestFit="1" customWidth="1"/>
    <col min="3096" max="3097" width="14.42578125" customWidth="1"/>
    <col min="3098" max="3100" width="14.42578125" bestFit="1" customWidth="1"/>
    <col min="3101" max="3101" width="14.42578125" customWidth="1"/>
    <col min="3102" max="3102" width="14.42578125" bestFit="1" customWidth="1"/>
    <col min="3103" max="3103" width="14.42578125" customWidth="1"/>
    <col min="3104" max="3106" width="14.42578125" bestFit="1" customWidth="1"/>
    <col min="3107" max="3107" width="8" customWidth="1"/>
    <col min="3108" max="3108" width="17.7109375" bestFit="1" customWidth="1"/>
    <col min="3109" max="3109" width="8.42578125" customWidth="1"/>
    <col min="3110" max="3112" width="14.42578125" bestFit="1" customWidth="1"/>
    <col min="3113" max="3113" width="9.42578125" bestFit="1" customWidth="1"/>
    <col min="3114" max="3114" width="19.28515625" bestFit="1" customWidth="1"/>
    <col min="3115" max="3115" width="10" bestFit="1" customWidth="1"/>
    <col min="3116" max="3116" width="9.42578125" bestFit="1" customWidth="1"/>
    <col min="3117" max="3117" width="19.28515625" bestFit="1" customWidth="1"/>
    <col min="3118" max="3118" width="10" bestFit="1" customWidth="1"/>
    <col min="3329" max="3329" width="19.7109375" customWidth="1"/>
    <col min="3330" max="3331" width="34.42578125" customWidth="1"/>
    <col min="3332" max="3332" width="77.42578125" customWidth="1"/>
    <col min="3333" max="3333" width="49.140625" customWidth="1"/>
    <col min="3334" max="3334" width="11.140625" customWidth="1"/>
    <col min="3335" max="3339" width="11.140625" bestFit="1" customWidth="1"/>
    <col min="3340" max="3340" width="11.140625" customWidth="1"/>
    <col min="3341" max="3342" width="12.140625" bestFit="1" customWidth="1"/>
    <col min="3343" max="3344" width="14.42578125" customWidth="1"/>
    <col min="3345" max="3351" width="14.42578125" bestFit="1" customWidth="1"/>
    <col min="3352" max="3353" width="14.42578125" customWidth="1"/>
    <col min="3354" max="3356" width="14.42578125" bestFit="1" customWidth="1"/>
    <col min="3357" max="3357" width="14.42578125" customWidth="1"/>
    <col min="3358" max="3358" width="14.42578125" bestFit="1" customWidth="1"/>
    <col min="3359" max="3359" width="14.42578125" customWidth="1"/>
    <col min="3360" max="3362" width="14.42578125" bestFit="1" customWidth="1"/>
    <col min="3363" max="3363" width="8" customWidth="1"/>
    <col min="3364" max="3364" width="17.7109375" bestFit="1" customWidth="1"/>
    <col min="3365" max="3365" width="8.42578125" customWidth="1"/>
    <col min="3366" max="3368" width="14.42578125" bestFit="1" customWidth="1"/>
    <col min="3369" max="3369" width="9.42578125" bestFit="1" customWidth="1"/>
    <col min="3370" max="3370" width="19.28515625" bestFit="1" customWidth="1"/>
    <col min="3371" max="3371" width="10" bestFit="1" customWidth="1"/>
    <col min="3372" max="3372" width="9.42578125" bestFit="1" customWidth="1"/>
    <col min="3373" max="3373" width="19.28515625" bestFit="1" customWidth="1"/>
    <col min="3374" max="3374" width="10" bestFit="1" customWidth="1"/>
    <col min="3585" max="3585" width="19.7109375" customWidth="1"/>
    <col min="3586" max="3587" width="34.42578125" customWidth="1"/>
    <col min="3588" max="3588" width="77.42578125" customWidth="1"/>
    <col min="3589" max="3589" width="49.140625" customWidth="1"/>
    <col min="3590" max="3590" width="11.140625" customWidth="1"/>
    <col min="3591" max="3595" width="11.140625" bestFit="1" customWidth="1"/>
    <col min="3596" max="3596" width="11.140625" customWidth="1"/>
    <col min="3597" max="3598" width="12.140625" bestFit="1" customWidth="1"/>
    <col min="3599" max="3600" width="14.42578125" customWidth="1"/>
    <col min="3601" max="3607" width="14.42578125" bestFit="1" customWidth="1"/>
    <col min="3608" max="3609" width="14.42578125" customWidth="1"/>
    <col min="3610" max="3612" width="14.42578125" bestFit="1" customWidth="1"/>
    <col min="3613" max="3613" width="14.42578125" customWidth="1"/>
    <col min="3614" max="3614" width="14.42578125" bestFit="1" customWidth="1"/>
    <col min="3615" max="3615" width="14.42578125" customWidth="1"/>
    <col min="3616" max="3618" width="14.42578125" bestFit="1" customWidth="1"/>
    <col min="3619" max="3619" width="8" customWidth="1"/>
    <col min="3620" max="3620" width="17.7109375" bestFit="1" customWidth="1"/>
    <col min="3621" max="3621" width="8.42578125" customWidth="1"/>
    <col min="3622" max="3624" width="14.42578125" bestFit="1" customWidth="1"/>
    <col min="3625" max="3625" width="9.42578125" bestFit="1" customWidth="1"/>
    <col min="3626" max="3626" width="19.28515625" bestFit="1" customWidth="1"/>
    <col min="3627" max="3627" width="10" bestFit="1" customWidth="1"/>
    <col min="3628" max="3628" width="9.42578125" bestFit="1" customWidth="1"/>
    <col min="3629" max="3629" width="19.28515625" bestFit="1" customWidth="1"/>
    <col min="3630" max="3630" width="10" bestFit="1" customWidth="1"/>
    <col min="3841" max="3841" width="19.7109375" customWidth="1"/>
    <col min="3842" max="3843" width="34.42578125" customWidth="1"/>
    <col min="3844" max="3844" width="77.42578125" customWidth="1"/>
    <col min="3845" max="3845" width="49.140625" customWidth="1"/>
    <col min="3846" max="3846" width="11.140625" customWidth="1"/>
    <col min="3847" max="3851" width="11.140625" bestFit="1" customWidth="1"/>
    <col min="3852" max="3852" width="11.140625" customWidth="1"/>
    <col min="3853" max="3854" width="12.140625" bestFit="1" customWidth="1"/>
    <col min="3855" max="3856" width="14.42578125" customWidth="1"/>
    <col min="3857" max="3863" width="14.42578125" bestFit="1" customWidth="1"/>
    <col min="3864" max="3865" width="14.42578125" customWidth="1"/>
    <col min="3866" max="3868" width="14.42578125" bestFit="1" customWidth="1"/>
    <col min="3869" max="3869" width="14.42578125" customWidth="1"/>
    <col min="3870" max="3870" width="14.42578125" bestFit="1" customWidth="1"/>
    <col min="3871" max="3871" width="14.42578125" customWidth="1"/>
    <col min="3872" max="3874" width="14.42578125" bestFit="1" customWidth="1"/>
    <col min="3875" max="3875" width="8" customWidth="1"/>
    <col min="3876" max="3876" width="17.7109375" bestFit="1" customWidth="1"/>
    <col min="3877" max="3877" width="8.42578125" customWidth="1"/>
    <col min="3878" max="3880" width="14.42578125" bestFit="1" customWidth="1"/>
    <col min="3881" max="3881" width="9.42578125" bestFit="1" customWidth="1"/>
    <col min="3882" max="3882" width="19.28515625" bestFit="1" customWidth="1"/>
    <col min="3883" max="3883" width="10" bestFit="1" customWidth="1"/>
    <col min="3884" max="3884" width="9.42578125" bestFit="1" customWidth="1"/>
    <col min="3885" max="3885" width="19.28515625" bestFit="1" customWidth="1"/>
    <col min="3886" max="3886" width="10" bestFit="1" customWidth="1"/>
    <col min="4097" max="4097" width="19.7109375" customWidth="1"/>
    <col min="4098" max="4099" width="34.42578125" customWidth="1"/>
    <col min="4100" max="4100" width="77.42578125" customWidth="1"/>
    <col min="4101" max="4101" width="49.140625" customWidth="1"/>
    <col min="4102" max="4102" width="11.140625" customWidth="1"/>
    <col min="4103" max="4107" width="11.140625" bestFit="1" customWidth="1"/>
    <col min="4108" max="4108" width="11.140625" customWidth="1"/>
    <col min="4109" max="4110" width="12.140625" bestFit="1" customWidth="1"/>
    <col min="4111" max="4112" width="14.42578125" customWidth="1"/>
    <col min="4113" max="4119" width="14.42578125" bestFit="1" customWidth="1"/>
    <col min="4120" max="4121" width="14.42578125" customWidth="1"/>
    <col min="4122" max="4124" width="14.42578125" bestFit="1" customWidth="1"/>
    <col min="4125" max="4125" width="14.42578125" customWidth="1"/>
    <col min="4126" max="4126" width="14.42578125" bestFit="1" customWidth="1"/>
    <col min="4127" max="4127" width="14.42578125" customWidth="1"/>
    <col min="4128" max="4130" width="14.42578125" bestFit="1" customWidth="1"/>
    <col min="4131" max="4131" width="8" customWidth="1"/>
    <col min="4132" max="4132" width="17.7109375" bestFit="1" customWidth="1"/>
    <col min="4133" max="4133" width="8.42578125" customWidth="1"/>
    <col min="4134" max="4136" width="14.42578125" bestFit="1" customWidth="1"/>
    <col min="4137" max="4137" width="9.42578125" bestFit="1" customWidth="1"/>
    <col min="4138" max="4138" width="19.28515625" bestFit="1" customWidth="1"/>
    <col min="4139" max="4139" width="10" bestFit="1" customWidth="1"/>
    <col min="4140" max="4140" width="9.42578125" bestFit="1" customWidth="1"/>
    <col min="4141" max="4141" width="19.28515625" bestFit="1" customWidth="1"/>
    <col min="4142" max="4142" width="10" bestFit="1" customWidth="1"/>
    <col min="4353" max="4353" width="19.7109375" customWidth="1"/>
    <col min="4354" max="4355" width="34.42578125" customWidth="1"/>
    <col min="4356" max="4356" width="77.42578125" customWidth="1"/>
    <col min="4357" max="4357" width="49.140625" customWidth="1"/>
    <col min="4358" max="4358" width="11.140625" customWidth="1"/>
    <col min="4359" max="4363" width="11.140625" bestFit="1" customWidth="1"/>
    <col min="4364" max="4364" width="11.140625" customWidth="1"/>
    <col min="4365" max="4366" width="12.140625" bestFit="1" customWidth="1"/>
    <col min="4367" max="4368" width="14.42578125" customWidth="1"/>
    <col min="4369" max="4375" width="14.42578125" bestFit="1" customWidth="1"/>
    <col min="4376" max="4377" width="14.42578125" customWidth="1"/>
    <col min="4378" max="4380" width="14.42578125" bestFit="1" customWidth="1"/>
    <col min="4381" max="4381" width="14.42578125" customWidth="1"/>
    <col min="4382" max="4382" width="14.42578125" bestFit="1" customWidth="1"/>
    <col min="4383" max="4383" width="14.42578125" customWidth="1"/>
    <col min="4384" max="4386" width="14.42578125" bestFit="1" customWidth="1"/>
    <col min="4387" max="4387" width="8" customWidth="1"/>
    <col min="4388" max="4388" width="17.7109375" bestFit="1" customWidth="1"/>
    <col min="4389" max="4389" width="8.42578125" customWidth="1"/>
    <col min="4390" max="4392" width="14.42578125" bestFit="1" customWidth="1"/>
    <col min="4393" max="4393" width="9.42578125" bestFit="1" customWidth="1"/>
    <col min="4394" max="4394" width="19.28515625" bestFit="1" customWidth="1"/>
    <col min="4395" max="4395" width="10" bestFit="1" customWidth="1"/>
    <col min="4396" max="4396" width="9.42578125" bestFit="1" customWidth="1"/>
    <col min="4397" max="4397" width="19.28515625" bestFit="1" customWidth="1"/>
    <col min="4398" max="4398" width="10" bestFit="1" customWidth="1"/>
    <col min="4609" max="4609" width="19.7109375" customWidth="1"/>
    <col min="4610" max="4611" width="34.42578125" customWidth="1"/>
    <col min="4612" max="4612" width="77.42578125" customWidth="1"/>
    <col min="4613" max="4613" width="49.140625" customWidth="1"/>
    <col min="4614" max="4614" width="11.140625" customWidth="1"/>
    <col min="4615" max="4619" width="11.140625" bestFit="1" customWidth="1"/>
    <col min="4620" max="4620" width="11.140625" customWidth="1"/>
    <col min="4621" max="4622" width="12.140625" bestFit="1" customWidth="1"/>
    <col min="4623" max="4624" width="14.42578125" customWidth="1"/>
    <col min="4625" max="4631" width="14.42578125" bestFit="1" customWidth="1"/>
    <col min="4632" max="4633" width="14.42578125" customWidth="1"/>
    <col min="4634" max="4636" width="14.42578125" bestFit="1" customWidth="1"/>
    <col min="4637" max="4637" width="14.42578125" customWidth="1"/>
    <col min="4638" max="4638" width="14.42578125" bestFit="1" customWidth="1"/>
    <col min="4639" max="4639" width="14.42578125" customWidth="1"/>
    <col min="4640" max="4642" width="14.42578125" bestFit="1" customWidth="1"/>
    <col min="4643" max="4643" width="8" customWidth="1"/>
    <col min="4644" max="4644" width="17.7109375" bestFit="1" customWidth="1"/>
    <col min="4645" max="4645" width="8.42578125" customWidth="1"/>
    <col min="4646" max="4648" width="14.42578125" bestFit="1" customWidth="1"/>
    <col min="4649" max="4649" width="9.42578125" bestFit="1" customWidth="1"/>
    <col min="4650" max="4650" width="19.28515625" bestFit="1" customWidth="1"/>
    <col min="4651" max="4651" width="10" bestFit="1" customWidth="1"/>
    <col min="4652" max="4652" width="9.42578125" bestFit="1" customWidth="1"/>
    <col min="4653" max="4653" width="19.28515625" bestFit="1" customWidth="1"/>
    <col min="4654" max="4654" width="10" bestFit="1" customWidth="1"/>
    <col min="4865" max="4865" width="19.7109375" customWidth="1"/>
    <col min="4866" max="4867" width="34.42578125" customWidth="1"/>
    <col min="4868" max="4868" width="77.42578125" customWidth="1"/>
    <col min="4869" max="4869" width="49.140625" customWidth="1"/>
    <col min="4870" max="4870" width="11.140625" customWidth="1"/>
    <col min="4871" max="4875" width="11.140625" bestFit="1" customWidth="1"/>
    <col min="4876" max="4876" width="11.140625" customWidth="1"/>
    <col min="4877" max="4878" width="12.140625" bestFit="1" customWidth="1"/>
    <col min="4879" max="4880" width="14.42578125" customWidth="1"/>
    <col min="4881" max="4887" width="14.42578125" bestFit="1" customWidth="1"/>
    <col min="4888" max="4889" width="14.42578125" customWidth="1"/>
    <col min="4890" max="4892" width="14.42578125" bestFit="1" customWidth="1"/>
    <col min="4893" max="4893" width="14.42578125" customWidth="1"/>
    <col min="4894" max="4894" width="14.42578125" bestFit="1" customWidth="1"/>
    <col min="4895" max="4895" width="14.42578125" customWidth="1"/>
    <col min="4896" max="4898" width="14.42578125" bestFit="1" customWidth="1"/>
    <col min="4899" max="4899" width="8" customWidth="1"/>
    <col min="4900" max="4900" width="17.7109375" bestFit="1" customWidth="1"/>
    <col min="4901" max="4901" width="8.42578125" customWidth="1"/>
    <col min="4902" max="4904" width="14.42578125" bestFit="1" customWidth="1"/>
    <col min="4905" max="4905" width="9.42578125" bestFit="1" customWidth="1"/>
    <col min="4906" max="4906" width="19.28515625" bestFit="1" customWidth="1"/>
    <col min="4907" max="4907" width="10" bestFit="1" customWidth="1"/>
    <col min="4908" max="4908" width="9.42578125" bestFit="1" customWidth="1"/>
    <col min="4909" max="4909" width="19.28515625" bestFit="1" customWidth="1"/>
    <col min="4910" max="4910" width="10" bestFit="1" customWidth="1"/>
    <col min="5121" max="5121" width="19.7109375" customWidth="1"/>
    <col min="5122" max="5123" width="34.42578125" customWidth="1"/>
    <col min="5124" max="5124" width="77.42578125" customWidth="1"/>
    <col min="5125" max="5125" width="49.140625" customWidth="1"/>
    <col min="5126" max="5126" width="11.140625" customWidth="1"/>
    <col min="5127" max="5131" width="11.140625" bestFit="1" customWidth="1"/>
    <col min="5132" max="5132" width="11.140625" customWidth="1"/>
    <col min="5133" max="5134" width="12.140625" bestFit="1" customWidth="1"/>
    <col min="5135" max="5136" width="14.42578125" customWidth="1"/>
    <col min="5137" max="5143" width="14.42578125" bestFit="1" customWidth="1"/>
    <col min="5144" max="5145" width="14.42578125" customWidth="1"/>
    <col min="5146" max="5148" width="14.42578125" bestFit="1" customWidth="1"/>
    <col min="5149" max="5149" width="14.42578125" customWidth="1"/>
    <col min="5150" max="5150" width="14.42578125" bestFit="1" customWidth="1"/>
    <col min="5151" max="5151" width="14.42578125" customWidth="1"/>
    <col min="5152" max="5154" width="14.42578125" bestFit="1" customWidth="1"/>
    <col min="5155" max="5155" width="8" customWidth="1"/>
    <col min="5156" max="5156" width="17.7109375" bestFit="1" customWidth="1"/>
    <col min="5157" max="5157" width="8.42578125" customWidth="1"/>
    <col min="5158" max="5160" width="14.42578125" bestFit="1" customWidth="1"/>
    <col min="5161" max="5161" width="9.42578125" bestFit="1" customWidth="1"/>
    <col min="5162" max="5162" width="19.28515625" bestFit="1" customWidth="1"/>
    <col min="5163" max="5163" width="10" bestFit="1" customWidth="1"/>
    <col min="5164" max="5164" width="9.42578125" bestFit="1" customWidth="1"/>
    <col min="5165" max="5165" width="19.28515625" bestFit="1" customWidth="1"/>
    <col min="5166" max="5166" width="10" bestFit="1" customWidth="1"/>
    <col min="5377" max="5377" width="19.7109375" customWidth="1"/>
    <col min="5378" max="5379" width="34.42578125" customWidth="1"/>
    <col min="5380" max="5380" width="77.42578125" customWidth="1"/>
    <col min="5381" max="5381" width="49.140625" customWidth="1"/>
    <col min="5382" max="5382" width="11.140625" customWidth="1"/>
    <col min="5383" max="5387" width="11.140625" bestFit="1" customWidth="1"/>
    <col min="5388" max="5388" width="11.140625" customWidth="1"/>
    <col min="5389" max="5390" width="12.140625" bestFit="1" customWidth="1"/>
    <col min="5391" max="5392" width="14.42578125" customWidth="1"/>
    <col min="5393" max="5399" width="14.42578125" bestFit="1" customWidth="1"/>
    <col min="5400" max="5401" width="14.42578125" customWidth="1"/>
    <col min="5402" max="5404" width="14.42578125" bestFit="1" customWidth="1"/>
    <col min="5405" max="5405" width="14.42578125" customWidth="1"/>
    <col min="5406" max="5406" width="14.42578125" bestFit="1" customWidth="1"/>
    <col min="5407" max="5407" width="14.42578125" customWidth="1"/>
    <col min="5408" max="5410" width="14.42578125" bestFit="1" customWidth="1"/>
    <col min="5411" max="5411" width="8" customWidth="1"/>
    <col min="5412" max="5412" width="17.7109375" bestFit="1" customWidth="1"/>
    <col min="5413" max="5413" width="8.42578125" customWidth="1"/>
    <col min="5414" max="5416" width="14.42578125" bestFit="1" customWidth="1"/>
    <col min="5417" max="5417" width="9.42578125" bestFit="1" customWidth="1"/>
    <col min="5418" max="5418" width="19.28515625" bestFit="1" customWidth="1"/>
    <col min="5419" max="5419" width="10" bestFit="1" customWidth="1"/>
    <col min="5420" max="5420" width="9.42578125" bestFit="1" customWidth="1"/>
    <col min="5421" max="5421" width="19.28515625" bestFit="1" customWidth="1"/>
    <col min="5422" max="5422" width="10" bestFit="1" customWidth="1"/>
    <col min="5633" max="5633" width="19.7109375" customWidth="1"/>
    <col min="5634" max="5635" width="34.42578125" customWidth="1"/>
    <col min="5636" max="5636" width="77.42578125" customWidth="1"/>
    <col min="5637" max="5637" width="49.140625" customWidth="1"/>
    <col min="5638" max="5638" width="11.140625" customWidth="1"/>
    <col min="5639" max="5643" width="11.140625" bestFit="1" customWidth="1"/>
    <col min="5644" max="5644" width="11.140625" customWidth="1"/>
    <col min="5645" max="5646" width="12.140625" bestFit="1" customWidth="1"/>
    <col min="5647" max="5648" width="14.42578125" customWidth="1"/>
    <col min="5649" max="5655" width="14.42578125" bestFit="1" customWidth="1"/>
    <col min="5656" max="5657" width="14.42578125" customWidth="1"/>
    <col min="5658" max="5660" width="14.42578125" bestFit="1" customWidth="1"/>
    <col min="5661" max="5661" width="14.42578125" customWidth="1"/>
    <col min="5662" max="5662" width="14.42578125" bestFit="1" customWidth="1"/>
    <col min="5663" max="5663" width="14.42578125" customWidth="1"/>
    <col min="5664" max="5666" width="14.42578125" bestFit="1" customWidth="1"/>
    <col min="5667" max="5667" width="8" customWidth="1"/>
    <col min="5668" max="5668" width="17.7109375" bestFit="1" customWidth="1"/>
    <col min="5669" max="5669" width="8.42578125" customWidth="1"/>
    <col min="5670" max="5672" width="14.42578125" bestFit="1" customWidth="1"/>
    <col min="5673" max="5673" width="9.42578125" bestFit="1" customWidth="1"/>
    <col min="5674" max="5674" width="19.28515625" bestFit="1" customWidth="1"/>
    <col min="5675" max="5675" width="10" bestFit="1" customWidth="1"/>
    <col min="5676" max="5676" width="9.42578125" bestFit="1" customWidth="1"/>
    <col min="5677" max="5677" width="19.28515625" bestFit="1" customWidth="1"/>
    <col min="5678" max="5678" width="10" bestFit="1" customWidth="1"/>
    <col min="5889" max="5889" width="19.7109375" customWidth="1"/>
    <col min="5890" max="5891" width="34.42578125" customWidth="1"/>
    <col min="5892" max="5892" width="77.42578125" customWidth="1"/>
    <col min="5893" max="5893" width="49.140625" customWidth="1"/>
    <col min="5894" max="5894" width="11.140625" customWidth="1"/>
    <col min="5895" max="5899" width="11.140625" bestFit="1" customWidth="1"/>
    <col min="5900" max="5900" width="11.140625" customWidth="1"/>
    <col min="5901" max="5902" width="12.140625" bestFit="1" customWidth="1"/>
    <col min="5903" max="5904" width="14.42578125" customWidth="1"/>
    <col min="5905" max="5911" width="14.42578125" bestFit="1" customWidth="1"/>
    <col min="5912" max="5913" width="14.42578125" customWidth="1"/>
    <col min="5914" max="5916" width="14.42578125" bestFit="1" customWidth="1"/>
    <col min="5917" max="5917" width="14.42578125" customWidth="1"/>
    <col min="5918" max="5918" width="14.42578125" bestFit="1" customWidth="1"/>
    <col min="5919" max="5919" width="14.42578125" customWidth="1"/>
    <col min="5920" max="5922" width="14.42578125" bestFit="1" customWidth="1"/>
    <col min="5923" max="5923" width="8" customWidth="1"/>
    <col min="5924" max="5924" width="17.7109375" bestFit="1" customWidth="1"/>
    <col min="5925" max="5925" width="8.42578125" customWidth="1"/>
    <col min="5926" max="5928" width="14.42578125" bestFit="1" customWidth="1"/>
    <col min="5929" max="5929" width="9.42578125" bestFit="1" customWidth="1"/>
    <col min="5930" max="5930" width="19.28515625" bestFit="1" customWidth="1"/>
    <col min="5931" max="5931" width="10" bestFit="1" customWidth="1"/>
    <col min="5932" max="5932" width="9.42578125" bestFit="1" customWidth="1"/>
    <col min="5933" max="5933" width="19.28515625" bestFit="1" customWidth="1"/>
    <col min="5934" max="5934" width="10" bestFit="1" customWidth="1"/>
    <col min="6145" max="6145" width="19.7109375" customWidth="1"/>
    <col min="6146" max="6147" width="34.42578125" customWidth="1"/>
    <col min="6148" max="6148" width="77.42578125" customWidth="1"/>
    <col min="6149" max="6149" width="49.140625" customWidth="1"/>
    <col min="6150" max="6150" width="11.140625" customWidth="1"/>
    <col min="6151" max="6155" width="11.140625" bestFit="1" customWidth="1"/>
    <col min="6156" max="6156" width="11.140625" customWidth="1"/>
    <col min="6157" max="6158" width="12.140625" bestFit="1" customWidth="1"/>
    <col min="6159" max="6160" width="14.42578125" customWidth="1"/>
    <col min="6161" max="6167" width="14.42578125" bestFit="1" customWidth="1"/>
    <col min="6168" max="6169" width="14.42578125" customWidth="1"/>
    <col min="6170" max="6172" width="14.42578125" bestFit="1" customWidth="1"/>
    <col min="6173" max="6173" width="14.42578125" customWidth="1"/>
    <col min="6174" max="6174" width="14.42578125" bestFit="1" customWidth="1"/>
    <col min="6175" max="6175" width="14.42578125" customWidth="1"/>
    <col min="6176" max="6178" width="14.42578125" bestFit="1" customWidth="1"/>
    <col min="6179" max="6179" width="8" customWidth="1"/>
    <col min="6180" max="6180" width="17.7109375" bestFit="1" customWidth="1"/>
    <col min="6181" max="6181" width="8.42578125" customWidth="1"/>
    <col min="6182" max="6184" width="14.42578125" bestFit="1" customWidth="1"/>
    <col min="6185" max="6185" width="9.42578125" bestFit="1" customWidth="1"/>
    <col min="6186" max="6186" width="19.28515625" bestFit="1" customWidth="1"/>
    <col min="6187" max="6187" width="10" bestFit="1" customWidth="1"/>
    <col min="6188" max="6188" width="9.42578125" bestFit="1" customWidth="1"/>
    <col min="6189" max="6189" width="19.28515625" bestFit="1" customWidth="1"/>
    <col min="6190" max="6190" width="10" bestFit="1" customWidth="1"/>
    <col min="6401" max="6401" width="19.7109375" customWidth="1"/>
    <col min="6402" max="6403" width="34.42578125" customWidth="1"/>
    <col min="6404" max="6404" width="77.42578125" customWidth="1"/>
    <col min="6405" max="6405" width="49.140625" customWidth="1"/>
    <col min="6406" max="6406" width="11.140625" customWidth="1"/>
    <col min="6407" max="6411" width="11.140625" bestFit="1" customWidth="1"/>
    <col min="6412" max="6412" width="11.140625" customWidth="1"/>
    <col min="6413" max="6414" width="12.140625" bestFit="1" customWidth="1"/>
    <col min="6415" max="6416" width="14.42578125" customWidth="1"/>
    <col min="6417" max="6423" width="14.42578125" bestFit="1" customWidth="1"/>
    <col min="6424" max="6425" width="14.42578125" customWidth="1"/>
    <col min="6426" max="6428" width="14.42578125" bestFit="1" customWidth="1"/>
    <col min="6429" max="6429" width="14.42578125" customWidth="1"/>
    <col min="6430" max="6430" width="14.42578125" bestFit="1" customWidth="1"/>
    <col min="6431" max="6431" width="14.42578125" customWidth="1"/>
    <col min="6432" max="6434" width="14.42578125" bestFit="1" customWidth="1"/>
    <col min="6435" max="6435" width="8" customWidth="1"/>
    <col min="6436" max="6436" width="17.7109375" bestFit="1" customWidth="1"/>
    <col min="6437" max="6437" width="8.42578125" customWidth="1"/>
    <col min="6438" max="6440" width="14.42578125" bestFit="1" customWidth="1"/>
    <col min="6441" max="6441" width="9.42578125" bestFit="1" customWidth="1"/>
    <col min="6442" max="6442" width="19.28515625" bestFit="1" customWidth="1"/>
    <col min="6443" max="6443" width="10" bestFit="1" customWidth="1"/>
    <col min="6444" max="6444" width="9.42578125" bestFit="1" customWidth="1"/>
    <col min="6445" max="6445" width="19.28515625" bestFit="1" customWidth="1"/>
    <col min="6446" max="6446" width="10" bestFit="1" customWidth="1"/>
    <col min="6657" max="6657" width="19.7109375" customWidth="1"/>
    <col min="6658" max="6659" width="34.42578125" customWidth="1"/>
    <col min="6660" max="6660" width="77.42578125" customWidth="1"/>
    <col min="6661" max="6661" width="49.140625" customWidth="1"/>
    <col min="6662" max="6662" width="11.140625" customWidth="1"/>
    <col min="6663" max="6667" width="11.140625" bestFit="1" customWidth="1"/>
    <col min="6668" max="6668" width="11.140625" customWidth="1"/>
    <col min="6669" max="6670" width="12.140625" bestFit="1" customWidth="1"/>
    <col min="6671" max="6672" width="14.42578125" customWidth="1"/>
    <col min="6673" max="6679" width="14.42578125" bestFit="1" customWidth="1"/>
    <col min="6680" max="6681" width="14.42578125" customWidth="1"/>
    <col min="6682" max="6684" width="14.42578125" bestFit="1" customWidth="1"/>
    <col min="6685" max="6685" width="14.42578125" customWidth="1"/>
    <col min="6686" max="6686" width="14.42578125" bestFit="1" customWidth="1"/>
    <col min="6687" max="6687" width="14.42578125" customWidth="1"/>
    <col min="6688" max="6690" width="14.42578125" bestFit="1" customWidth="1"/>
    <col min="6691" max="6691" width="8" customWidth="1"/>
    <col min="6692" max="6692" width="17.7109375" bestFit="1" customWidth="1"/>
    <col min="6693" max="6693" width="8.42578125" customWidth="1"/>
    <col min="6694" max="6696" width="14.42578125" bestFit="1" customWidth="1"/>
    <col min="6697" max="6697" width="9.42578125" bestFit="1" customWidth="1"/>
    <col min="6698" max="6698" width="19.28515625" bestFit="1" customWidth="1"/>
    <col min="6699" max="6699" width="10" bestFit="1" customWidth="1"/>
    <col min="6700" max="6700" width="9.42578125" bestFit="1" customWidth="1"/>
    <col min="6701" max="6701" width="19.28515625" bestFit="1" customWidth="1"/>
    <col min="6702" max="6702" width="10" bestFit="1" customWidth="1"/>
    <col min="6913" max="6913" width="19.7109375" customWidth="1"/>
    <col min="6914" max="6915" width="34.42578125" customWidth="1"/>
    <col min="6916" max="6916" width="77.42578125" customWidth="1"/>
    <col min="6917" max="6917" width="49.140625" customWidth="1"/>
    <col min="6918" max="6918" width="11.140625" customWidth="1"/>
    <col min="6919" max="6923" width="11.140625" bestFit="1" customWidth="1"/>
    <col min="6924" max="6924" width="11.140625" customWidth="1"/>
    <col min="6925" max="6926" width="12.140625" bestFit="1" customWidth="1"/>
    <col min="6927" max="6928" width="14.42578125" customWidth="1"/>
    <col min="6929" max="6935" width="14.42578125" bestFit="1" customWidth="1"/>
    <col min="6936" max="6937" width="14.42578125" customWidth="1"/>
    <col min="6938" max="6940" width="14.42578125" bestFit="1" customWidth="1"/>
    <col min="6941" max="6941" width="14.42578125" customWidth="1"/>
    <col min="6942" max="6942" width="14.42578125" bestFit="1" customWidth="1"/>
    <col min="6943" max="6943" width="14.42578125" customWidth="1"/>
    <col min="6944" max="6946" width="14.42578125" bestFit="1" customWidth="1"/>
    <col min="6947" max="6947" width="8" customWidth="1"/>
    <col min="6948" max="6948" width="17.7109375" bestFit="1" customWidth="1"/>
    <col min="6949" max="6949" width="8.42578125" customWidth="1"/>
    <col min="6950" max="6952" width="14.42578125" bestFit="1" customWidth="1"/>
    <col min="6953" max="6953" width="9.42578125" bestFit="1" customWidth="1"/>
    <col min="6954" max="6954" width="19.28515625" bestFit="1" customWidth="1"/>
    <col min="6955" max="6955" width="10" bestFit="1" customWidth="1"/>
    <col min="6956" max="6956" width="9.42578125" bestFit="1" customWidth="1"/>
    <col min="6957" max="6957" width="19.28515625" bestFit="1" customWidth="1"/>
    <col min="6958" max="6958" width="10" bestFit="1" customWidth="1"/>
    <col min="7169" max="7169" width="19.7109375" customWidth="1"/>
    <col min="7170" max="7171" width="34.42578125" customWidth="1"/>
    <col min="7172" max="7172" width="77.42578125" customWidth="1"/>
    <col min="7173" max="7173" width="49.140625" customWidth="1"/>
    <col min="7174" max="7174" width="11.140625" customWidth="1"/>
    <col min="7175" max="7179" width="11.140625" bestFit="1" customWidth="1"/>
    <col min="7180" max="7180" width="11.140625" customWidth="1"/>
    <col min="7181" max="7182" width="12.140625" bestFit="1" customWidth="1"/>
    <col min="7183" max="7184" width="14.42578125" customWidth="1"/>
    <col min="7185" max="7191" width="14.42578125" bestFit="1" customWidth="1"/>
    <col min="7192" max="7193" width="14.42578125" customWidth="1"/>
    <col min="7194" max="7196" width="14.42578125" bestFit="1" customWidth="1"/>
    <col min="7197" max="7197" width="14.42578125" customWidth="1"/>
    <col min="7198" max="7198" width="14.42578125" bestFit="1" customWidth="1"/>
    <col min="7199" max="7199" width="14.42578125" customWidth="1"/>
    <col min="7200" max="7202" width="14.42578125" bestFit="1" customWidth="1"/>
    <col min="7203" max="7203" width="8" customWidth="1"/>
    <col min="7204" max="7204" width="17.7109375" bestFit="1" customWidth="1"/>
    <col min="7205" max="7205" width="8.42578125" customWidth="1"/>
    <col min="7206" max="7208" width="14.42578125" bestFit="1" customWidth="1"/>
    <col min="7209" max="7209" width="9.42578125" bestFit="1" customWidth="1"/>
    <col min="7210" max="7210" width="19.28515625" bestFit="1" customWidth="1"/>
    <col min="7211" max="7211" width="10" bestFit="1" customWidth="1"/>
    <col min="7212" max="7212" width="9.42578125" bestFit="1" customWidth="1"/>
    <col min="7213" max="7213" width="19.28515625" bestFit="1" customWidth="1"/>
    <col min="7214" max="7214" width="10" bestFit="1" customWidth="1"/>
    <col min="7425" max="7425" width="19.7109375" customWidth="1"/>
    <col min="7426" max="7427" width="34.42578125" customWidth="1"/>
    <col min="7428" max="7428" width="77.42578125" customWidth="1"/>
    <col min="7429" max="7429" width="49.140625" customWidth="1"/>
    <col min="7430" max="7430" width="11.140625" customWidth="1"/>
    <col min="7431" max="7435" width="11.140625" bestFit="1" customWidth="1"/>
    <col min="7436" max="7436" width="11.140625" customWidth="1"/>
    <col min="7437" max="7438" width="12.140625" bestFit="1" customWidth="1"/>
    <col min="7439" max="7440" width="14.42578125" customWidth="1"/>
    <col min="7441" max="7447" width="14.42578125" bestFit="1" customWidth="1"/>
    <col min="7448" max="7449" width="14.42578125" customWidth="1"/>
    <col min="7450" max="7452" width="14.42578125" bestFit="1" customWidth="1"/>
    <col min="7453" max="7453" width="14.42578125" customWidth="1"/>
    <col min="7454" max="7454" width="14.42578125" bestFit="1" customWidth="1"/>
    <col min="7455" max="7455" width="14.42578125" customWidth="1"/>
    <col min="7456" max="7458" width="14.42578125" bestFit="1" customWidth="1"/>
    <col min="7459" max="7459" width="8" customWidth="1"/>
    <col min="7460" max="7460" width="17.7109375" bestFit="1" customWidth="1"/>
    <col min="7461" max="7461" width="8.42578125" customWidth="1"/>
    <col min="7462" max="7464" width="14.42578125" bestFit="1" customWidth="1"/>
    <col min="7465" max="7465" width="9.42578125" bestFit="1" customWidth="1"/>
    <col min="7466" max="7466" width="19.28515625" bestFit="1" customWidth="1"/>
    <col min="7467" max="7467" width="10" bestFit="1" customWidth="1"/>
    <col min="7468" max="7468" width="9.42578125" bestFit="1" customWidth="1"/>
    <col min="7469" max="7469" width="19.28515625" bestFit="1" customWidth="1"/>
    <col min="7470" max="7470" width="10" bestFit="1" customWidth="1"/>
    <col min="7681" max="7681" width="19.7109375" customWidth="1"/>
    <col min="7682" max="7683" width="34.42578125" customWidth="1"/>
    <col min="7684" max="7684" width="77.42578125" customWidth="1"/>
    <col min="7685" max="7685" width="49.140625" customWidth="1"/>
    <col min="7686" max="7686" width="11.140625" customWidth="1"/>
    <col min="7687" max="7691" width="11.140625" bestFit="1" customWidth="1"/>
    <col min="7692" max="7692" width="11.140625" customWidth="1"/>
    <col min="7693" max="7694" width="12.140625" bestFit="1" customWidth="1"/>
    <col min="7695" max="7696" width="14.42578125" customWidth="1"/>
    <col min="7697" max="7703" width="14.42578125" bestFit="1" customWidth="1"/>
    <col min="7704" max="7705" width="14.42578125" customWidth="1"/>
    <col min="7706" max="7708" width="14.42578125" bestFit="1" customWidth="1"/>
    <col min="7709" max="7709" width="14.42578125" customWidth="1"/>
    <col min="7710" max="7710" width="14.42578125" bestFit="1" customWidth="1"/>
    <col min="7711" max="7711" width="14.42578125" customWidth="1"/>
    <col min="7712" max="7714" width="14.42578125" bestFit="1" customWidth="1"/>
    <col min="7715" max="7715" width="8" customWidth="1"/>
    <col min="7716" max="7716" width="17.7109375" bestFit="1" customWidth="1"/>
    <col min="7717" max="7717" width="8.42578125" customWidth="1"/>
    <col min="7718" max="7720" width="14.42578125" bestFit="1" customWidth="1"/>
    <col min="7721" max="7721" width="9.42578125" bestFit="1" customWidth="1"/>
    <col min="7722" max="7722" width="19.28515625" bestFit="1" customWidth="1"/>
    <col min="7723" max="7723" width="10" bestFit="1" customWidth="1"/>
    <col min="7724" max="7724" width="9.42578125" bestFit="1" customWidth="1"/>
    <col min="7725" max="7725" width="19.28515625" bestFit="1" customWidth="1"/>
    <col min="7726" max="7726" width="10" bestFit="1" customWidth="1"/>
    <col min="7937" max="7937" width="19.7109375" customWidth="1"/>
    <col min="7938" max="7939" width="34.42578125" customWidth="1"/>
    <col min="7940" max="7940" width="77.42578125" customWidth="1"/>
    <col min="7941" max="7941" width="49.140625" customWidth="1"/>
    <col min="7942" max="7942" width="11.140625" customWidth="1"/>
    <col min="7943" max="7947" width="11.140625" bestFit="1" customWidth="1"/>
    <col min="7948" max="7948" width="11.140625" customWidth="1"/>
    <col min="7949" max="7950" width="12.140625" bestFit="1" customWidth="1"/>
    <col min="7951" max="7952" width="14.42578125" customWidth="1"/>
    <col min="7953" max="7959" width="14.42578125" bestFit="1" customWidth="1"/>
    <col min="7960" max="7961" width="14.42578125" customWidth="1"/>
    <col min="7962" max="7964" width="14.42578125" bestFit="1" customWidth="1"/>
    <col min="7965" max="7965" width="14.42578125" customWidth="1"/>
    <col min="7966" max="7966" width="14.42578125" bestFit="1" customWidth="1"/>
    <col min="7967" max="7967" width="14.42578125" customWidth="1"/>
    <col min="7968" max="7970" width="14.42578125" bestFit="1" customWidth="1"/>
    <col min="7971" max="7971" width="8" customWidth="1"/>
    <col min="7972" max="7972" width="17.7109375" bestFit="1" customWidth="1"/>
    <col min="7973" max="7973" width="8.42578125" customWidth="1"/>
    <col min="7974" max="7976" width="14.42578125" bestFit="1" customWidth="1"/>
    <col min="7977" max="7977" width="9.42578125" bestFit="1" customWidth="1"/>
    <col min="7978" max="7978" width="19.28515625" bestFit="1" customWidth="1"/>
    <col min="7979" max="7979" width="10" bestFit="1" customWidth="1"/>
    <col min="7980" max="7980" width="9.42578125" bestFit="1" customWidth="1"/>
    <col min="7981" max="7981" width="19.28515625" bestFit="1" customWidth="1"/>
    <col min="7982" max="7982" width="10" bestFit="1" customWidth="1"/>
    <col min="8193" max="8193" width="19.7109375" customWidth="1"/>
    <col min="8194" max="8195" width="34.42578125" customWidth="1"/>
    <col min="8196" max="8196" width="77.42578125" customWidth="1"/>
    <col min="8197" max="8197" width="49.140625" customWidth="1"/>
    <col min="8198" max="8198" width="11.140625" customWidth="1"/>
    <col min="8199" max="8203" width="11.140625" bestFit="1" customWidth="1"/>
    <col min="8204" max="8204" width="11.140625" customWidth="1"/>
    <col min="8205" max="8206" width="12.140625" bestFit="1" customWidth="1"/>
    <col min="8207" max="8208" width="14.42578125" customWidth="1"/>
    <col min="8209" max="8215" width="14.42578125" bestFit="1" customWidth="1"/>
    <col min="8216" max="8217" width="14.42578125" customWidth="1"/>
    <col min="8218" max="8220" width="14.42578125" bestFit="1" customWidth="1"/>
    <col min="8221" max="8221" width="14.42578125" customWidth="1"/>
    <col min="8222" max="8222" width="14.42578125" bestFit="1" customWidth="1"/>
    <col min="8223" max="8223" width="14.42578125" customWidth="1"/>
    <col min="8224" max="8226" width="14.42578125" bestFit="1" customWidth="1"/>
    <col min="8227" max="8227" width="8" customWidth="1"/>
    <col min="8228" max="8228" width="17.7109375" bestFit="1" customWidth="1"/>
    <col min="8229" max="8229" width="8.42578125" customWidth="1"/>
    <col min="8230" max="8232" width="14.42578125" bestFit="1" customWidth="1"/>
    <col min="8233" max="8233" width="9.42578125" bestFit="1" customWidth="1"/>
    <col min="8234" max="8234" width="19.28515625" bestFit="1" customWidth="1"/>
    <col min="8235" max="8235" width="10" bestFit="1" customWidth="1"/>
    <col min="8236" max="8236" width="9.42578125" bestFit="1" customWidth="1"/>
    <col min="8237" max="8237" width="19.28515625" bestFit="1" customWidth="1"/>
    <col min="8238" max="8238" width="10" bestFit="1" customWidth="1"/>
    <col min="8449" max="8449" width="19.7109375" customWidth="1"/>
    <col min="8450" max="8451" width="34.42578125" customWidth="1"/>
    <col min="8452" max="8452" width="77.42578125" customWidth="1"/>
    <col min="8453" max="8453" width="49.140625" customWidth="1"/>
    <col min="8454" max="8454" width="11.140625" customWidth="1"/>
    <col min="8455" max="8459" width="11.140625" bestFit="1" customWidth="1"/>
    <col min="8460" max="8460" width="11.140625" customWidth="1"/>
    <col min="8461" max="8462" width="12.140625" bestFit="1" customWidth="1"/>
    <col min="8463" max="8464" width="14.42578125" customWidth="1"/>
    <col min="8465" max="8471" width="14.42578125" bestFit="1" customWidth="1"/>
    <col min="8472" max="8473" width="14.42578125" customWidth="1"/>
    <col min="8474" max="8476" width="14.42578125" bestFit="1" customWidth="1"/>
    <col min="8477" max="8477" width="14.42578125" customWidth="1"/>
    <col min="8478" max="8478" width="14.42578125" bestFit="1" customWidth="1"/>
    <col min="8479" max="8479" width="14.42578125" customWidth="1"/>
    <col min="8480" max="8482" width="14.42578125" bestFit="1" customWidth="1"/>
    <col min="8483" max="8483" width="8" customWidth="1"/>
    <col min="8484" max="8484" width="17.7109375" bestFit="1" customWidth="1"/>
    <col min="8485" max="8485" width="8.42578125" customWidth="1"/>
    <col min="8486" max="8488" width="14.42578125" bestFit="1" customWidth="1"/>
    <col min="8489" max="8489" width="9.42578125" bestFit="1" customWidth="1"/>
    <col min="8490" max="8490" width="19.28515625" bestFit="1" customWidth="1"/>
    <col min="8491" max="8491" width="10" bestFit="1" customWidth="1"/>
    <col min="8492" max="8492" width="9.42578125" bestFit="1" customWidth="1"/>
    <col min="8493" max="8493" width="19.28515625" bestFit="1" customWidth="1"/>
    <col min="8494" max="8494" width="10" bestFit="1" customWidth="1"/>
    <col min="8705" max="8705" width="19.7109375" customWidth="1"/>
    <col min="8706" max="8707" width="34.42578125" customWidth="1"/>
    <col min="8708" max="8708" width="77.42578125" customWidth="1"/>
    <col min="8709" max="8709" width="49.140625" customWidth="1"/>
    <col min="8710" max="8710" width="11.140625" customWidth="1"/>
    <col min="8711" max="8715" width="11.140625" bestFit="1" customWidth="1"/>
    <col min="8716" max="8716" width="11.140625" customWidth="1"/>
    <col min="8717" max="8718" width="12.140625" bestFit="1" customWidth="1"/>
    <col min="8719" max="8720" width="14.42578125" customWidth="1"/>
    <col min="8721" max="8727" width="14.42578125" bestFit="1" customWidth="1"/>
    <col min="8728" max="8729" width="14.42578125" customWidth="1"/>
    <col min="8730" max="8732" width="14.42578125" bestFit="1" customWidth="1"/>
    <col min="8733" max="8733" width="14.42578125" customWidth="1"/>
    <col min="8734" max="8734" width="14.42578125" bestFit="1" customWidth="1"/>
    <col min="8735" max="8735" width="14.42578125" customWidth="1"/>
    <col min="8736" max="8738" width="14.42578125" bestFit="1" customWidth="1"/>
    <col min="8739" max="8739" width="8" customWidth="1"/>
    <col min="8740" max="8740" width="17.7109375" bestFit="1" customWidth="1"/>
    <col min="8741" max="8741" width="8.42578125" customWidth="1"/>
    <col min="8742" max="8744" width="14.42578125" bestFit="1" customWidth="1"/>
    <col min="8745" max="8745" width="9.42578125" bestFit="1" customWidth="1"/>
    <col min="8746" max="8746" width="19.28515625" bestFit="1" customWidth="1"/>
    <col min="8747" max="8747" width="10" bestFit="1" customWidth="1"/>
    <col min="8748" max="8748" width="9.42578125" bestFit="1" customWidth="1"/>
    <col min="8749" max="8749" width="19.28515625" bestFit="1" customWidth="1"/>
    <col min="8750" max="8750" width="10" bestFit="1" customWidth="1"/>
    <col min="8961" max="8961" width="19.7109375" customWidth="1"/>
    <col min="8962" max="8963" width="34.42578125" customWidth="1"/>
    <col min="8964" max="8964" width="77.42578125" customWidth="1"/>
    <col min="8965" max="8965" width="49.140625" customWidth="1"/>
    <col min="8966" max="8966" width="11.140625" customWidth="1"/>
    <col min="8967" max="8971" width="11.140625" bestFit="1" customWidth="1"/>
    <col min="8972" max="8972" width="11.140625" customWidth="1"/>
    <col min="8973" max="8974" width="12.140625" bestFit="1" customWidth="1"/>
    <col min="8975" max="8976" width="14.42578125" customWidth="1"/>
    <col min="8977" max="8983" width="14.42578125" bestFit="1" customWidth="1"/>
    <col min="8984" max="8985" width="14.42578125" customWidth="1"/>
    <col min="8986" max="8988" width="14.42578125" bestFit="1" customWidth="1"/>
    <col min="8989" max="8989" width="14.42578125" customWidth="1"/>
    <col min="8990" max="8990" width="14.42578125" bestFit="1" customWidth="1"/>
    <col min="8991" max="8991" width="14.42578125" customWidth="1"/>
    <col min="8992" max="8994" width="14.42578125" bestFit="1" customWidth="1"/>
    <col min="8995" max="8995" width="8" customWidth="1"/>
    <col min="8996" max="8996" width="17.7109375" bestFit="1" customWidth="1"/>
    <col min="8997" max="8997" width="8.42578125" customWidth="1"/>
    <col min="8998" max="9000" width="14.42578125" bestFit="1" customWidth="1"/>
    <col min="9001" max="9001" width="9.42578125" bestFit="1" customWidth="1"/>
    <col min="9002" max="9002" width="19.28515625" bestFit="1" customWidth="1"/>
    <col min="9003" max="9003" width="10" bestFit="1" customWidth="1"/>
    <col min="9004" max="9004" width="9.42578125" bestFit="1" customWidth="1"/>
    <col min="9005" max="9005" width="19.28515625" bestFit="1" customWidth="1"/>
    <col min="9006" max="9006" width="10" bestFit="1" customWidth="1"/>
    <col min="9217" max="9217" width="19.7109375" customWidth="1"/>
    <col min="9218" max="9219" width="34.42578125" customWidth="1"/>
    <col min="9220" max="9220" width="77.42578125" customWidth="1"/>
    <col min="9221" max="9221" width="49.140625" customWidth="1"/>
    <col min="9222" max="9222" width="11.140625" customWidth="1"/>
    <col min="9223" max="9227" width="11.140625" bestFit="1" customWidth="1"/>
    <col min="9228" max="9228" width="11.140625" customWidth="1"/>
    <col min="9229" max="9230" width="12.140625" bestFit="1" customWidth="1"/>
    <col min="9231" max="9232" width="14.42578125" customWidth="1"/>
    <col min="9233" max="9239" width="14.42578125" bestFit="1" customWidth="1"/>
    <col min="9240" max="9241" width="14.42578125" customWidth="1"/>
    <col min="9242" max="9244" width="14.42578125" bestFit="1" customWidth="1"/>
    <col min="9245" max="9245" width="14.42578125" customWidth="1"/>
    <col min="9246" max="9246" width="14.42578125" bestFit="1" customWidth="1"/>
    <col min="9247" max="9247" width="14.42578125" customWidth="1"/>
    <col min="9248" max="9250" width="14.42578125" bestFit="1" customWidth="1"/>
    <col min="9251" max="9251" width="8" customWidth="1"/>
    <col min="9252" max="9252" width="17.7109375" bestFit="1" customWidth="1"/>
    <col min="9253" max="9253" width="8.42578125" customWidth="1"/>
    <col min="9254" max="9256" width="14.42578125" bestFit="1" customWidth="1"/>
    <col min="9257" max="9257" width="9.42578125" bestFit="1" customWidth="1"/>
    <col min="9258" max="9258" width="19.28515625" bestFit="1" customWidth="1"/>
    <col min="9259" max="9259" width="10" bestFit="1" customWidth="1"/>
    <col min="9260" max="9260" width="9.42578125" bestFit="1" customWidth="1"/>
    <col min="9261" max="9261" width="19.28515625" bestFit="1" customWidth="1"/>
    <col min="9262" max="9262" width="10" bestFit="1" customWidth="1"/>
    <col min="9473" max="9473" width="19.7109375" customWidth="1"/>
    <col min="9474" max="9475" width="34.42578125" customWidth="1"/>
    <col min="9476" max="9476" width="77.42578125" customWidth="1"/>
    <col min="9477" max="9477" width="49.140625" customWidth="1"/>
    <col min="9478" max="9478" width="11.140625" customWidth="1"/>
    <col min="9479" max="9483" width="11.140625" bestFit="1" customWidth="1"/>
    <col min="9484" max="9484" width="11.140625" customWidth="1"/>
    <col min="9485" max="9486" width="12.140625" bestFit="1" customWidth="1"/>
    <col min="9487" max="9488" width="14.42578125" customWidth="1"/>
    <col min="9489" max="9495" width="14.42578125" bestFit="1" customWidth="1"/>
    <col min="9496" max="9497" width="14.42578125" customWidth="1"/>
    <col min="9498" max="9500" width="14.42578125" bestFit="1" customWidth="1"/>
    <col min="9501" max="9501" width="14.42578125" customWidth="1"/>
    <col min="9502" max="9502" width="14.42578125" bestFit="1" customWidth="1"/>
    <col min="9503" max="9503" width="14.42578125" customWidth="1"/>
    <col min="9504" max="9506" width="14.42578125" bestFit="1" customWidth="1"/>
    <col min="9507" max="9507" width="8" customWidth="1"/>
    <col min="9508" max="9508" width="17.7109375" bestFit="1" customWidth="1"/>
    <col min="9509" max="9509" width="8.42578125" customWidth="1"/>
    <col min="9510" max="9512" width="14.42578125" bestFit="1" customWidth="1"/>
    <col min="9513" max="9513" width="9.42578125" bestFit="1" customWidth="1"/>
    <col min="9514" max="9514" width="19.28515625" bestFit="1" customWidth="1"/>
    <col min="9515" max="9515" width="10" bestFit="1" customWidth="1"/>
    <col min="9516" max="9516" width="9.42578125" bestFit="1" customWidth="1"/>
    <col min="9517" max="9517" width="19.28515625" bestFit="1" customWidth="1"/>
    <col min="9518" max="9518" width="10" bestFit="1" customWidth="1"/>
    <col min="9729" max="9729" width="19.7109375" customWidth="1"/>
    <col min="9730" max="9731" width="34.42578125" customWidth="1"/>
    <col min="9732" max="9732" width="77.42578125" customWidth="1"/>
    <col min="9733" max="9733" width="49.140625" customWidth="1"/>
    <col min="9734" max="9734" width="11.140625" customWidth="1"/>
    <col min="9735" max="9739" width="11.140625" bestFit="1" customWidth="1"/>
    <col min="9740" max="9740" width="11.140625" customWidth="1"/>
    <col min="9741" max="9742" width="12.140625" bestFit="1" customWidth="1"/>
    <col min="9743" max="9744" width="14.42578125" customWidth="1"/>
    <col min="9745" max="9751" width="14.42578125" bestFit="1" customWidth="1"/>
    <col min="9752" max="9753" width="14.42578125" customWidth="1"/>
    <col min="9754" max="9756" width="14.42578125" bestFit="1" customWidth="1"/>
    <col min="9757" max="9757" width="14.42578125" customWidth="1"/>
    <col min="9758" max="9758" width="14.42578125" bestFit="1" customWidth="1"/>
    <col min="9759" max="9759" width="14.42578125" customWidth="1"/>
    <col min="9760" max="9762" width="14.42578125" bestFit="1" customWidth="1"/>
    <col min="9763" max="9763" width="8" customWidth="1"/>
    <col min="9764" max="9764" width="17.7109375" bestFit="1" customWidth="1"/>
    <col min="9765" max="9765" width="8.42578125" customWidth="1"/>
    <col min="9766" max="9768" width="14.42578125" bestFit="1" customWidth="1"/>
    <col min="9769" max="9769" width="9.42578125" bestFit="1" customWidth="1"/>
    <col min="9770" max="9770" width="19.28515625" bestFit="1" customWidth="1"/>
    <col min="9771" max="9771" width="10" bestFit="1" customWidth="1"/>
    <col min="9772" max="9772" width="9.42578125" bestFit="1" customWidth="1"/>
    <col min="9773" max="9773" width="19.28515625" bestFit="1" customWidth="1"/>
    <col min="9774" max="9774" width="10" bestFit="1" customWidth="1"/>
    <col min="9985" max="9985" width="19.7109375" customWidth="1"/>
    <col min="9986" max="9987" width="34.42578125" customWidth="1"/>
    <col min="9988" max="9988" width="77.42578125" customWidth="1"/>
    <col min="9989" max="9989" width="49.140625" customWidth="1"/>
    <col min="9990" max="9990" width="11.140625" customWidth="1"/>
    <col min="9991" max="9995" width="11.140625" bestFit="1" customWidth="1"/>
    <col min="9996" max="9996" width="11.140625" customWidth="1"/>
    <col min="9997" max="9998" width="12.140625" bestFit="1" customWidth="1"/>
    <col min="9999" max="10000" width="14.42578125" customWidth="1"/>
    <col min="10001" max="10007" width="14.42578125" bestFit="1" customWidth="1"/>
    <col min="10008" max="10009" width="14.42578125" customWidth="1"/>
    <col min="10010" max="10012" width="14.42578125" bestFit="1" customWidth="1"/>
    <col min="10013" max="10013" width="14.42578125" customWidth="1"/>
    <col min="10014" max="10014" width="14.42578125" bestFit="1" customWidth="1"/>
    <col min="10015" max="10015" width="14.42578125" customWidth="1"/>
    <col min="10016" max="10018" width="14.42578125" bestFit="1" customWidth="1"/>
    <col min="10019" max="10019" width="8" customWidth="1"/>
    <col min="10020" max="10020" width="17.7109375" bestFit="1" customWidth="1"/>
    <col min="10021" max="10021" width="8.42578125" customWidth="1"/>
    <col min="10022" max="10024" width="14.42578125" bestFit="1" customWidth="1"/>
    <col min="10025" max="10025" width="9.42578125" bestFit="1" customWidth="1"/>
    <col min="10026" max="10026" width="19.28515625" bestFit="1" customWidth="1"/>
    <col min="10027" max="10027" width="10" bestFit="1" customWidth="1"/>
    <col min="10028" max="10028" width="9.42578125" bestFit="1" customWidth="1"/>
    <col min="10029" max="10029" width="19.28515625" bestFit="1" customWidth="1"/>
    <col min="10030" max="10030" width="10" bestFit="1" customWidth="1"/>
    <col min="10241" max="10241" width="19.7109375" customWidth="1"/>
    <col min="10242" max="10243" width="34.42578125" customWidth="1"/>
    <col min="10244" max="10244" width="77.42578125" customWidth="1"/>
    <col min="10245" max="10245" width="49.140625" customWidth="1"/>
    <col min="10246" max="10246" width="11.140625" customWidth="1"/>
    <col min="10247" max="10251" width="11.140625" bestFit="1" customWidth="1"/>
    <col min="10252" max="10252" width="11.140625" customWidth="1"/>
    <col min="10253" max="10254" width="12.140625" bestFit="1" customWidth="1"/>
    <col min="10255" max="10256" width="14.42578125" customWidth="1"/>
    <col min="10257" max="10263" width="14.42578125" bestFit="1" customWidth="1"/>
    <col min="10264" max="10265" width="14.42578125" customWidth="1"/>
    <col min="10266" max="10268" width="14.42578125" bestFit="1" customWidth="1"/>
    <col min="10269" max="10269" width="14.42578125" customWidth="1"/>
    <col min="10270" max="10270" width="14.42578125" bestFit="1" customWidth="1"/>
    <col min="10271" max="10271" width="14.42578125" customWidth="1"/>
    <col min="10272" max="10274" width="14.42578125" bestFit="1" customWidth="1"/>
    <col min="10275" max="10275" width="8" customWidth="1"/>
    <col min="10276" max="10276" width="17.7109375" bestFit="1" customWidth="1"/>
    <col min="10277" max="10277" width="8.42578125" customWidth="1"/>
    <col min="10278" max="10280" width="14.42578125" bestFit="1" customWidth="1"/>
    <col min="10281" max="10281" width="9.42578125" bestFit="1" customWidth="1"/>
    <col min="10282" max="10282" width="19.28515625" bestFit="1" customWidth="1"/>
    <col min="10283" max="10283" width="10" bestFit="1" customWidth="1"/>
    <col min="10284" max="10284" width="9.42578125" bestFit="1" customWidth="1"/>
    <col min="10285" max="10285" width="19.28515625" bestFit="1" customWidth="1"/>
    <col min="10286" max="10286" width="10" bestFit="1" customWidth="1"/>
    <col min="10497" max="10497" width="19.7109375" customWidth="1"/>
    <col min="10498" max="10499" width="34.42578125" customWidth="1"/>
    <col min="10500" max="10500" width="77.42578125" customWidth="1"/>
    <col min="10501" max="10501" width="49.140625" customWidth="1"/>
    <col min="10502" max="10502" width="11.140625" customWidth="1"/>
    <col min="10503" max="10507" width="11.140625" bestFit="1" customWidth="1"/>
    <col min="10508" max="10508" width="11.140625" customWidth="1"/>
    <col min="10509" max="10510" width="12.140625" bestFit="1" customWidth="1"/>
    <col min="10511" max="10512" width="14.42578125" customWidth="1"/>
    <col min="10513" max="10519" width="14.42578125" bestFit="1" customWidth="1"/>
    <col min="10520" max="10521" width="14.42578125" customWidth="1"/>
    <col min="10522" max="10524" width="14.42578125" bestFit="1" customWidth="1"/>
    <col min="10525" max="10525" width="14.42578125" customWidth="1"/>
    <col min="10526" max="10526" width="14.42578125" bestFit="1" customWidth="1"/>
    <col min="10527" max="10527" width="14.42578125" customWidth="1"/>
    <col min="10528" max="10530" width="14.42578125" bestFit="1" customWidth="1"/>
    <col min="10531" max="10531" width="8" customWidth="1"/>
    <col min="10532" max="10532" width="17.7109375" bestFit="1" customWidth="1"/>
    <col min="10533" max="10533" width="8.42578125" customWidth="1"/>
    <col min="10534" max="10536" width="14.42578125" bestFit="1" customWidth="1"/>
    <col min="10537" max="10537" width="9.42578125" bestFit="1" customWidth="1"/>
    <col min="10538" max="10538" width="19.28515625" bestFit="1" customWidth="1"/>
    <col min="10539" max="10539" width="10" bestFit="1" customWidth="1"/>
    <col min="10540" max="10540" width="9.42578125" bestFit="1" customWidth="1"/>
    <col min="10541" max="10541" width="19.28515625" bestFit="1" customWidth="1"/>
    <col min="10542" max="10542" width="10" bestFit="1" customWidth="1"/>
    <col min="10753" max="10753" width="19.7109375" customWidth="1"/>
    <col min="10754" max="10755" width="34.42578125" customWidth="1"/>
    <col min="10756" max="10756" width="77.42578125" customWidth="1"/>
    <col min="10757" max="10757" width="49.140625" customWidth="1"/>
    <col min="10758" max="10758" width="11.140625" customWidth="1"/>
    <col min="10759" max="10763" width="11.140625" bestFit="1" customWidth="1"/>
    <col min="10764" max="10764" width="11.140625" customWidth="1"/>
    <col min="10765" max="10766" width="12.140625" bestFit="1" customWidth="1"/>
    <col min="10767" max="10768" width="14.42578125" customWidth="1"/>
    <col min="10769" max="10775" width="14.42578125" bestFit="1" customWidth="1"/>
    <col min="10776" max="10777" width="14.42578125" customWidth="1"/>
    <col min="10778" max="10780" width="14.42578125" bestFit="1" customWidth="1"/>
    <col min="10781" max="10781" width="14.42578125" customWidth="1"/>
    <col min="10782" max="10782" width="14.42578125" bestFit="1" customWidth="1"/>
    <col min="10783" max="10783" width="14.42578125" customWidth="1"/>
    <col min="10784" max="10786" width="14.42578125" bestFit="1" customWidth="1"/>
    <col min="10787" max="10787" width="8" customWidth="1"/>
    <col min="10788" max="10788" width="17.7109375" bestFit="1" customWidth="1"/>
    <col min="10789" max="10789" width="8.42578125" customWidth="1"/>
    <col min="10790" max="10792" width="14.42578125" bestFit="1" customWidth="1"/>
    <col min="10793" max="10793" width="9.42578125" bestFit="1" customWidth="1"/>
    <col min="10794" max="10794" width="19.28515625" bestFit="1" customWidth="1"/>
    <col min="10795" max="10795" width="10" bestFit="1" customWidth="1"/>
    <col min="10796" max="10796" width="9.42578125" bestFit="1" customWidth="1"/>
    <col min="10797" max="10797" width="19.28515625" bestFit="1" customWidth="1"/>
    <col min="10798" max="10798" width="10" bestFit="1" customWidth="1"/>
    <col min="11009" max="11009" width="19.7109375" customWidth="1"/>
    <col min="11010" max="11011" width="34.42578125" customWidth="1"/>
    <col min="11012" max="11012" width="77.42578125" customWidth="1"/>
    <col min="11013" max="11013" width="49.140625" customWidth="1"/>
    <col min="11014" max="11014" width="11.140625" customWidth="1"/>
    <col min="11015" max="11019" width="11.140625" bestFit="1" customWidth="1"/>
    <col min="11020" max="11020" width="11.140625" customWidth="1"/>
    <col min="11021" max="11022" width="12.140625" bestFit="1" customWidth="1"/>
    <col min="11023" max="11024" width="14.42578125" customWidth="1"/>
    <col min="11025" max="11031" width="14.42578125" bestFit="1" customWidth="1"/>
    <col min="11032" max="11033" width="14.42578125" customWidth="1"/>
    <col min="11034" max="11036" width="14.42578125" bestFit="1" customWidth="1"/>
    <col min="11037" max="11037" width="14.42578125" customWidth="1"/>
    <col min="11038" max="11038" width="14.42578125" bestFit="1" customWidth="1"/>
    <col min="11039" max="11039" width="14.42578125" customWidth="1"/>
    <col min="11040" max="11042" width="14.42578125" bestFit="1" customWidth="1"/>
    <col min="11043" max="11043" width="8" customWidth="1"/>
    <col min="11044" max="11044" width="17.7109375" bestFit="1" customWidth="1"/>
    <col min="11045" max="11045" width="8.42578125" customWidth="1"/>
    <col min="11046" max="11048" width="14.42578125" bestFit="1" customWidth="1"/>
    <col min="11049" max="11049" width="9.42578125" bestFit="1" customWidth="1"/>
    <col min="11050" max="11050" width="19.28515625" bestFit="1" customWidth="1"/>
    <col min="11051" max="11051" width="10" bestFit="1" customWidth="1"/>
    <col min="11052" max="11052" width="9.42578125" bestFit="1" customWidth="1"/>
    <col min="11053" max="11053" width="19.28515625" bestFit="1" customWidth="1"/>
    <col min="11054" max="11054" width="10" bestFit="1" customWidth="1"/>
    <col min="11265" max="11265" width="19.7109375" customWidth="1"/>
    <col min="11266" max="11267" width="34.42578125" customWidth="1"/>
    <col min="11268" max="11268" width="77.42578125" customWidth="1"/>
    <col min="11269" max="11269" width="49.140625" customWidth="1"/>
    <col min="11270" max="11270" width="11.140625" customWidth="1"/>
    <col min="11271" max="11275" width="11.140625" bestFit="1" customWidth="1"/>
    <col min="11276" max="11276" width="11.140625" customWidth="1"/>
    <col min="11277" max="11278" width="12.140625" bestFit="1" customWidth="1"/>
    <col min="11279" max="11280" width="14.42578125" customWidth="1"/>
    <col min="11281" max="11287" width="14.42578125" bestFit="1" customWidth="1"/>
    <col min="11288" max="11289" width="14.42578125" customWidth="1"/>
    <col min="11290" max="11292" width="14.42578125" bestFit="1" customWidth="1"/>
    <col min="11293" max="11293" width="14.42578125" customWidth="1"/>
    <col min="11294" max="11294" width="14.42578125" bestFit="1" customWidth="1"/>
    <col min="11295" max="11295" width="14.42578125" customWidth="1"/>
    <col min="11296" max="11298" width="14.42578125" bestFit="1" customWidth="1"/>
    <col min="11299" max="11299" width="8" customWidth="1"/>
    <col min="11300" max="11300" width="17.7109375" bestFit="1" customWidth="1"/>
    <col min="11301" max="11301" width="8.42578125" customWidth="1"/>
    <col min="11302" max="11304" width="14.42578125" bestFit="1" customWidth="1"/>
    <col min="11305" max="11305" width="9.42578125" bestFit="1" customWidth="1"/>
    <col min="11306" max="11306" width="19.28515625" bestFit="1" customWidth="1"/>
    <col min="11307" max="11307" width="10" bestFit="1" customWidth="1"/>
    <col min="11308" max="11308" width="9.42578125" bestFit="1" customWidth="1"/>
    <col min="11309" max="11309" width="19.28515625" bestFit="1" customWidth="1"/>
    <col min="11310" max="11310" width="10" bestFit="1" customWidth="1"/>
    <col min="11521" max="11521" width="19.7109375" customWidth="1"/>
    <col min="11522" max="11523" width="34.42578125" customWidth="1"/>
    <col min="11524" max="11524" width="77.42578125" customWidth="1"/>
    <col min="11525" max="11525" width="49.140625" customWidth="1"/>
    <col min="11526" max="11526" width="11.140625" customWidth="1"/>
    <col min="11527" max="11531" width="11.140625" bestFit="1" customWidth="1"/>
    <col min="11532" max="11532" width="11.140625" customWidth="1"/>
    <col min="11533" max="11534" width="12.140625" bestFit="1" customWidth="1"/>
    <col min="11535" max="11536" width="14.42578125" customWidth="1"/>
    <col min="11537" max="11543" width="14.42578125" bestFit="1" customWidth="1"/>
    <col min="11544" max="11545" width="14.42578125" customWidth="1"/>
    <col min="11546" max="11548" width="14.42578125" bestFit="1" customWidth="1"/>
    <col min="11549" max="11549" width="14.42578125" customWidth="1"/>
    <col min="11550" max="11550" width="14.42578125" bestFit="1" customWidth="1"/>
    <col min="11551" max="11551" width="14.42578125" customWidth="1"/>
    <col min="11552" max="11554" width="14.42578125" bestFit="1" customWidth="1"/>
    <col min="11555" max="11555" width="8" customWidth="1"/>
    <col min="11556" max="11556" width="17.7109375" bestFit="1" customWidth="1"/>
    <col min="11557" max="11557" width="8.42578125" customWidth="1"/>
    <col min="11558" max="11560" width="14.42578125" bestFit="1" customWidth="1"/>
    <col min="11561" max="11561" width="9.42578125" bestFit="1" customWidth="1"/>
    <col min="11562" max="11562" width="19.28515625" bestFit="1" customWidth="1"/>
    <col min="11563" max="11563" width="10" bestFit="1" customWidth="1"/>
    <col min="11564" max="11564" width="9.42578125" bestFit="1" customWidth="1"/>
    <col min="11565" max="11565" width="19.28515625" bestFit="1" customWidth="1"/>
    <col min="11566" max="11566" width="10" bestFit="1" customWidth="1"/>
    <col min="11777" max="11777" width="19.7109375" customWidth="1"/>
    <col min="11778" max="11779" width="34.42578125" customWidth="1"/>
    <col min="11780" max="11780" width="77.42578125" customWidth="1"/>
    <col min="11781" max="11781" width="49.140625" customWidth="1"/>
    <col min="11782" max="11782" width="11.140625" customWidth="1"/>
    <col min="11783" max="11787" width="11.140625" bestFit="1" customWidth="1"/>
    <col min="11788" max="11788" width="11.140625" customWidth="1"/>
    <col min="11789" max="11790" width="12.140625" bestFit="1" customWidth="1"/>
    <col min="11791" max="11792" width="14.42578125" customWidth="1"/>
    <col min="11793" max="11799" width="14.42578125" bestFit="1" customWidth="1"/>
    <col min="11800" max="11801" width="14.42578125" customWidth="1"/>
    <col min="11802" max="11804" width="14.42578125" bestFit="1" customWidth="1"/>
    <col min="11805" max="11805" width="14.42578125" customWidth="1"/>
    <col min="11806" max="11806" width="14.42578125" bestFit="1" customWidth="1"/>
    <col min="11807" max="11807" width="14.42578125" customWidth="1"/>
    <col min="11808" max="11810" width="14.42578125" bestFit="1" customWidth="1"/>
    <col min="11811" max="11811" width="8" customWidth="1"/>
    <col min="11812" max="11812" width="17.7109375" bestFit="1" customWidth="1"/>
    <col min="11813" max="11813" width="8.42578125" customWidth="1"/>
    <col min="11814" max="11816" width="14.42578125" bestFit="1" customWidth="1"/>
    <col min="11817" max="11817" width="9.42578125" bestFit="1" customWidth="1"/>
    <col min="11818" max="11818" width="19.28515625" bestFit="1" customWidth="1"/>
    <col min="11819" max="11819" width="10" bestFit="1" customWidth="1"/>
    <col min="11820" max="11820" width="9.42578125" bestFit="1" customWidth="1"/>
    <col min="11821" max="11821" width="19.28515625" bestFit="1" customWidth="1"/>
    <col min="11822" max="11822" width="10" bestFit="1" customWidth="1"/>
    <col min="12033" max="12033" width="19.7109375" customWidth="1"/>
    <col min="12034" max="12035" width="34.42578125" customWidth="1"/>
    <col min="12036" max="12036" width="77.42578125" customWidth="1"/>
    <col min="12037" max="12037" width="49.140625" customWidth="1"/>
    <col min="12038" max="12038" width="11.140625" customWidth="1"/>
    <col min="12039" max="12043" width="11.140625" bestFit="1" customWidth="1"/>
    <col min="12044" max="12044" width="11.140625" customWidth="1"/>
    <col min="12045" max="12046" width="12.140625" bestFit="1" customWidth="1"/>
    <col min="12047" max="12048" width="14.42578125" customWidth="1"/>
    <col min="12049" max="12055" width="14.42578125" bestFit="1" customWidth="1"/>
    <col min="12056" max="12057" width="14.42578125" customWidth="1"/>
    <col min="12058" max="12060" width="14.42578125" bestFit="1" customWidth="1"/>
    <col min="12061" max="12061" width="14.42578125" customWidth="1"/>
    <col min="12062" max="12062" width="14.42578125" bestFit="1" customWidth="1"/>
    <col min="12063" max="12063" width="14.42578125" customWidth="1"/>
    <col min="12064" max="12066" width="14.42578125" bestFit="1" customWidth="1"/>
    <col min="12067" max="12067" width="8" customWidth="1"/>
    <col min="12068" max="12068" width="17.7109375" bestFit="1" customWidth="1"/>
    <col min="12069" max="12069" width="8.42578125" customWidth="1"/>
    <col min="12070" max="12072" width="14.42578125" bestFit="1" customWidth="1"/>
    <col min="12073" max="12073" width="9.42578125" bestFit="1" customWidth="1"/>
    <col min="12074" max="12074" width="19.28515625" bestFit="1" customWidth="1"/>
    <col min="12075" max="12075" width="10" bestFit="1" customWidth="1"/>
    <col min="12076" max="12076" width="9.42578125" bestFit="1" customWidth="1"/>
    <col min="12077" max="12077" width="19.28515625" bestFit="1" customWidth="1"/>
    <col min="12078" max="12078" width="10" bestFit="1" customWidth="1"/>
    <col min="12289" max="12289" width="19.7109375" customWidth="1"/>
    <col min="12290" max="12291" width="34.42578125" customWidth="1"/>
    <col min="12292" max="12292" width="77.42578125" customWidth="1"/>
    <col min="12293" max="12293" width="49.140625" customWidth="1"/>
    <col min="12294" max="12294" width="11.140625" customWidth="1"/>
    <col min="12295" max="12299" width="11.140625" bestFit="1" customWidth="1"/>
    <col min="12300" max="12300" width="11.140625" customWidth="1"/>
    <col min="12301" max="12302" width="12.140625" bestFit="1" customWidth="1"/>
    <col min="12303" max="12304" width="14.42578125" customWidth="1"/>
    <col min="12305" max="12311" width="14.42578125" bestFit="1" customWidth="1"/>
    <col min="12312" max="12313" width="14.42578125" customWidth="1"/>
    <col min="12314" max="12316" width="14.42578125" bestFit="1" customWidth="1"/>
    <col min="12317" max="12317" width="14.42578125" customWidth="1"/>
    <col min="12318" max="12318" width="14.42578125" bestFit="1" customWidth="1"/>
    <col min="12319" max="12319" width="14.42578125" customWidth="1"/>
    <col min="12320" max="12322" width="14.42578125" bestFit="1" customWidth="1"/>
    <col min="12323" max="12323" width="8" customWidth="1"/>
    <col min="12324" max="12324" width="17.7109375" bestFit="1" customWidth="1"/>
    <col min="12325" max="12325" width="8.42578125" customWidth="1"/>
    <col min="12326" max="12328" width="14.42578125" bestFit="1" customWidth="1"/>
    <col min="12329" max="12329" width="9.42578125" bestFit="1" customWidth="1"/>
    <col min="12330" max="12330" width="19.28515625" bestFit="1" customWidth="1"/>
    <col min="12331" max="12331" width="10" bestFit="1" customWidth="1"/>
    <col min="12332" max="12332" width="9.42578125" bestFit="1" customWidth="1"/>
    <col min="12333" max="12333" width="19.28515625" bestFit="1" customWidth="1"/>
    <col min="12334" max="12334" width="10" bestFit="1" customWidth="1"/>
    <col min="12545" max="12545" width="19.7109375" customWidth="1"/>
    <col min="12546" max="12547" width="34.42578125" customWidth="1"/>
    <col min="12548" max="12548" width="77.42578125" customWidth="1"/>
    <col min="12549" max="12549" width="49.140625" customWidth="1"/>
    <col min="12550" max="12550" width="11.140625" customWidth="1"/>
    <col min="12551" max="12555" width="11.140625" bestFit="1" customWidth="1"/>
    <col min="12556" max="12556" width="11.140625" customWidth="1"/>
    <col min="12557" max="12558" width="12.140625" bestFit="1" customWidth="1"/>
    <col min="12559" max="12560" width="14.42578125" customWidth="1"/>
    <col min="12561" max="12567" width="14.42578125" bestFit="1" customWidth="1"/>
    <col min="12568" max="12569" width="14.42578125" customWidth="1"/>
    <col min="12570" max="12572" width="14.42578125" bestFit="1" customWidth="1"/>
    <col min="12573" max="12573" width="14.42578125" customWidth="1"/>
    <col min="12574" max="12574" width="14.42578125" bestFit="1" customWidth="1"/>
    <col min="12575" max="12575" width="14.42578125" customWidth="1"/>
    <col min="12576" max="12578" width="14.42578125" bestFit="1" customWidth="1"/>
    <col min="12579" max="12579" width="8" customWidth="1"/>
    <col min="12580" max="12580" width="17.7109375" bestFit="1" customWidth="1"/>
    <col min="12581" max="12581" width="8.42578125" customWidth="1"/>
    <col min="12582" max="12584" width="14.42578125" bestFit="1" customWidth="1"/>
    <col min="12585" max="12585" width="9.42578125" bestFit="1" customWidth="1"/>
    <col min="12586" max="12586" width="19.28515625" bestFit="1" customWidth="1"/>
    <col min="12587" max="12587" width="10" bestFit="1" customWidth="1"/>
    <col min="12588" max="12588" width="9.42578125" bestFit="1" customWidth="1"/>
    <col min="12589" max="12589" width="19.28515625" bestFit="1" customWidth="1"/>
    <col min="12590" max="12590" width="10" bestFit="1" customWidth="1"/>
    <col min="12801" max="12801" width="19.7109375" customWidth="1"/>
    <col min="12802" max="12803" width="34.42578125" customWidth="1"/>
    <col min="12804" max="12804" width="77.42578125" customWidth="1"/>
    <col min="12805" max="12805" width="49.140625" customWidth="1"/>
    <col min="12806" max="12806" width="11.140625" customWidth="1"/>
    <col min="12807" max="12811" width="11.140625" bestFit="1" customWidth="1"/>
    <col min="12812" max="12812" width="11.140625" customWidth="1"/>
    <col min="12813" max="12814" width="12.140625" bestFit="1" customWidth="1"/>
    <col min="12815" max="12816" width="14.42578125" customWidth="1"/>
    <col min="12817" max="12823" width="14.42578125" bestFit="1" customWidth="1"/>
    <col min="12824" max="12825" width="14.42578125" customWidth="1"/>
    <col min="12826" max="12828" width="14.42578125" bestFit="1" customWidth="1"/>
    <col min="12829" max="12829" width="14.42578125" customWidth="1"/>
    <col min="12830" max="12830" width="14.42578125" bestFit="1" customWidth="1"/>
    <col min="12831" max="12831" width="14.42578125" customWidth="1"/>
    <col min="12832" max="12834" width="14.42578125" bestFit="1" customWidth="1"/>
    <col min="12835" max="12835" width="8" customWidth="1"/>
    <col min="12836" max="12836" width="17.7109375" bestFit="1" customWidth="1"/>
    <col min="12837" max="12837" width="8.42578125" customWidth="1"/>
    <col min="12838" max="12840" width="14.42578125" bestFit="1" customWidth="1"/>
    <col min="12841" max="12841" width="9.42578125" bestFit="1" customWidth="1"/>
    <col min="12842" max="12842" width="19.28515625" bestFit="1" customWidth="1"/>
    <col min="12843" max="12843" width="10" bestFit="1" customWidth="1"/>
    <col min="12844" max="12844" width="9.42578125" bestFit="1" customWidth="1"/>
    <col min="12845" max="12845" width="19.28515625" bestFit="1" customWidth="1"/>
    <col min="12846" max="12846" width="10" bestFit="1" customWidth="1"/>
    <col min="13057" max="13057" width="19.7109375" customWidth="1"/>
    <col min="13058" max="13059" width="34.42578125" customWidth="1"/>
    <col min="13060" max="13060" width="77.42578125" customWidth="1"/>
    <col min="13061" max="13061" width="49.140625" customWidth="1"/>
    <col min="13062" max="13062" width="11.140625" customWidth="1"/>
    <col min="13063" max="13067" width="11.140625" bestFit="1" customWidth="1"/>
    <col min="13068" max="13068" width="11.140625" customWidth="1"/>
    <col min="13069" max="13070" width="12.140625" bestFit="1" customWidth="1"/>
    <col min="13071" max="13072" width="14.42578125" customWidth="1"/>
    <col min="13073" max="13079" width="14.42578125" bestFit="1" customWidth="1"/>
    <col min="13080" max="13081" width="14.42578125" customWidth="1"/>
    <col min="13082" max="13084" width="14.42578125" bestFit="1" customWidth="1"/>
    <col min="13085" max="13085" width="14.42578125" customWidth="1"/>
    <col min="13086" max="13086" width="14.42578125" bestFit="1" customWidth="1"/>
    <col min="13087" max="13087" width="14.42578125" customWidth="1"/>
    <col min="13088" max="13090" width="14.42578125" bestFit="1" customWidth="1"/>
    <col min="13091" max="13091" width="8" customWidth="1"/>
    <col min="13092" max="13092" width="17.7109375" bestFit="1" customWidth="1"/>
    <col min="13093" max="13093" width="8.42578125" customWidth="1"/>
    <col min="13094" max="13096" width="14.42578125" bestFit="1" customWidth="1"/>
    <col min="13097" max="13097" width="9.42578125" bestFit="1" customWidth="1"/>
    <col min="13098" max="13098" width="19.28515625" bestFit="1" customWidth="1"/>
    <col min="13099" max="13099" width="10" bestFit="1" customWidth="1"/>
    <col min="13100" max="13100" width="9.42578125" bestFit="1" customWidth="1"/>
    <col min="13101" max="13101" width="19.28515625" bestFit="1" customWidth="1"/>
    <col min="13102" max="13102" width="10" bestFit="1" customWidth="1"/>
    <col min="13313" max="13313" width="19.7109375" customWidth="1"/>
    <col min="13314" max="13315" width="34.42578125" customWidth="1"/>
    <col min="13316" max="13316" width="77.42578125" customWidth="1"/>
    <col min="13317" max="13317" width="49.140625" customWidth="1"/>
    <col min="13318" max="13318" width="11.140625" customWidth="1"/>
    <col min="13319" max="13323" width="11.140625" bestFit="1" customWidth="1"/>
    <col min="13324" max="13324" width="11.140625" customWidth="1"/>
    <col min="13325" max="13326" width="12.140625" bestFit="1" customWidth="1"/>
    <col min="13327" max="13328" width="14.42578125" customWidth="1"/>
    <col min="13329" max="13335" width="14.42578125" bestFit="1" customWidth="1"/>
    <col min="13336" max="13337" width="14.42578125" customWidth="1"/>
    <col min="13338" max="13340" width="14.42578125" bestFit="1" customWidth="1"/>
    <col min="13341" max="13341" width="14.42578125" customWidth="1"/>
    <col min="13342" max="13342" width="14.42578125" bestFit="1" customWidth="1"/>
    <col min="13343" max="13343" width="14.42578125" customWidth="1"/>
    <col min="13344" max="13346" width="14.42578125" bestFit="1" customWidth="1"/>
    <col min="13347" max="13347" width="8" customWidth="1"/>
    <col min="13348" max="13348" width="17.7109375" bestFit="1" customWidth="1"/>
    <col min="13349" max="13349" width="8.42578125" customWidth="1"/>
    <col min="13350" max="13352" width="14.42578125" bestFit="1" customWidth="1"/>
    <col min="13353" max="13353" width="9.42578125" bestFit="1" customWidth="1"/>
    <col min="13354" max="13354" width="19.28515625" bestFit="1" customWidth="1"/>
    <col min="13355" max="13355" width="10" bestFit="1" customWidth="1"/>
    <col min="13356" max="13356" width="9.42578125" bestFit="1" customWidth="1"/>
    <col min="13357" max="13357" width="19.28515625" bestFit="1" customWidth="1"/>
    <col min="13358" max="13358" width="10" bestFit="1" customWidth="1"/>
    <col min="13569" max="13569" width="19.7109375" customWidth="1"/>
    <col min="13570" max="13571" width="34.42578125" customWidth="1"/>
    <col min="13572" max="13572" width="77.42578125" customWidth="1"/>
    <col min="13573" max="13573" width="49.140625" customWidth="1"/>
    <col min="13574" max="13574" width="11.140625" customWidth="1"/>
    <col min="13575" max="13579" width="11.140625" bestFit="1" customWidth="1"/>
    <col min="13580" max="13580" width="11.140625" customWidth="1"/>
    <col min="13581" max="13582" width="12.140625" bestFit="1" customWidth="1"/>
    <col min="13583" max="13584" width="14.42578125" customWidth="1"/>
    <col min="13585" max="13591" width="14.42578125" bestFit="1" customWidth="1"/>
    <col min="13592" max="13593" width="14.42578125" customWidth="1"/>
    <col min="13594" max="13596" width="14.42578125" bestFit="1" customWidth="1"/>
    <col min="13597" max="13597" width="14.42578125" customWidth="1"/>
    <col min="13598" max="13598" width="14.42578125" bestFit="1" customWidth="1"/>
    <col min="13599" max="13599" width="14.42578125" customWidth="1"/>
    <col min="13600" max="13602" width="14.42578125" bestFit="1" customWidth="1"/>
    <col min="13603" max="13603" width="8" customWidth="1"/>
    <col min="13604" max="13604" width="17.7109375" bestFit="1" customWidth="1"/>
    <col min="13605" max="13605" width="8.42578125" customWidth="1"/>
    <col min="13606" max="13608" width="14.42578125" bestFit="1" customWidth="1"/>
    <col min="13609" max="13609" width="9.42578125" bestFit="1" customWidth="1"/>
    <col min="13610" max="13610" width="19.28515625" bestFit="1" customWidth="1"/>
    <col min="13611" max="13611" width="10" bestFit="1" customWidth="1"/>
    <col min="13612" max="13612" width="9.42578125" bestFit="1" customWidth="1"/>
    <col min="13613" max="13613" width="19.28515625" bestFit="1" customWidth="1"/>
    <col min="13614" max="13614" width="10" bestFit="1" customWidth="1"/>
    <col min="13825" max="13825" width="19.7109375" customWidth="1"/>
    <col min="13826" max="13827" width="34.42578125" customWidth="1"/>
    <col min="13828" max="13828" width="77.42578125" customWidth="1"/>
    <col min="13829" max="13829" width="49.140625" customWidth="1"/>
    <col min="13830" max="13830" width="11.140625" customWidth="1"/>
    <col min="13831" max="13835" width="11.140625" bestFit="1" customWidth="1"/>
    <col min="13836" max="13836" width="11.140625" customWidth="1"/>
    <col min="13837" max="13838" width="12.140625" bestFit="1" customWidth="1"/>
    <col min="13839" max="13840" width="14.42578125" customWidth="1"/>
    <col min="13841" max="13847" width="14.42578125" bestFit="1" customWidth="1"/>
    <col min="13848" max="13849" width="14.42578125" customWidth="1"/>
    <col min="13850" max="13852" width="14.42578125" bestFit="1" customWidth="1"/>
    <col min="13853" max="13853" width="14.42578125" customWidth="1"/>
    <col min="13854" max="13854" width="14.42578125" bestFit="1" customWidth="1"/>
    <col min="13855" max="13855" width="14.42578125" customWidth="1"/>
    <col min="13856" max="13858" width="14.42578125" bestFit="1" customWidth="1"/>
    <col min="13859" max="13859" width="8" customWidth="1"/>
    <col min="13860" max="13860" width="17.7109375" bestFit="1" customWidth="1"/>
    <col min="13861" max="13861" width="8.42578125" customWidth="1"/>
    <col min="13862" max="13864" width="14.42578125" bestFit="1" customWidth="1"/>
    <col min="13865" max="13865" width="9.42578125" bestFit="1" customWidth="1"/>
    <col min="13866" max="13866" width="19.28515625" bestFit="1" customWidth="1"/>
    <col min="13867" max="13867" width="10" bestFit="1" customWidth="1"/>
    <col min="13868" max="13868" width="9.42578125" bestFit="1" customWidth="1"/>
    <col min="13869" max="13869" width="19.28515625" bestFit="1" customWidth="1"/>
    <col min="13870" max="13870" width="10" bestFit="1" customWidth="1"/>
    <col min="14081" max="14081" width="19.7109375" customWidth="1"/>
    <col min="14082" max="14083" width="34.42578125" customWidth="1"/>
    <col min="14084" max="14084" width="77.42578125" customWidth="1"/>
    <col min="14085" max="14085" width="49.140625" customWidth="1"/>
    <col min="14086" max="14086" width="11.140625" customWidth="1"/>
    <col min="14087" max="14091" width="11.140625" bestFit="1" customWidth="1"/>
    <col min="14092" max="14092" width="11.140625" customWidth="1"/>
    <col min="14093" max="14094" width="12.140625" bestFit="1" customWidth="1"/>
    <col min="14095" max="14096" width="14.42578125" customWidth="1"/>
    <col min="14097" max="14103" width="14.42578125" bestFit="1" customWidth="1"/>
    <col min="14104" max="14105" width="14.42578125" customWidth="1"/>
    <col min="14106" max="14108" width="14.42578125" bestFit="1" customWidth="1"/>
    <col min="14109" max="14109" width="14.42578125" customWidth="1"/>
    <col min="14110" max="14110" width="14.42578125" bestFit="1" customWidth="1"/>
    <col min="14111" max="14111" width="14.42578125" customWidth="1"/>
    <col min="14112" max="14114" width="14.42578125" bestFit="1" customWidth="1"/>
    <col min="14115" max="14115" width="8" customWidth="1"/>
    <col min="14116" max="14116" width="17.7109375" bestFit="1" customWidth="1"/>
    <col min="14117" max="14117" width="8.42578125" customWidth="1"/>
    <col min="14118" max="14120" width="14.42578125" bestFit="1" customWidth="1"/>
    <col min="14121" max="14121" width="9.42578125" bestFit="1" customWidth="1"/>
    <col min="14122" max="14122" width="19.28515625" bestFit="1" customWidth="1"/>
    <col min="14123" max="14123" width="10" bestFit="1" customWidth="1"/>
    <col min="14124" max="14124" width="9.42578125" bestFit="1" customWidth="1"/>
    <col min="14125" max="14125" width="19.28515625" bestFit="1" customWidth="1"/>
    <col min="14126" max="14126" width="10" bestFit="1" customWidth="1"/>
    <col min="14337" max="14337" width="19.7109375" customWidth="1"/>
    <col min="14338" max="14339" width="34.42578125" customWidth="1"/>
    <col min="14340" max="14340" width="77.42578125" customWidth="1"/>
    <col min="14341" max="14341" width="49.140625" customWidth="1"/>
    <col min="14342" max="14342" width="11.140625" customWidth="1"/>
    <col min="14343" max="14347" width="11.140625" bestFit="1" customWidth="1"/>
    <col min="14348" max="14348" width="11.140625" customWidth="1"/>
    <col min="14349" max="14350" width="12.140625" bestFit="1" customWidth="1"/>
    <col min="14351" max="14352" width="14.42578125" customWidth="1"/>
    <col min="14353" max="14359" width="14.42578125" bestFit="1" customWidth="1"/>
    <col min="14360" max="14361" width="14.42578125" customWidth="1"/>
    <col min="14362" max="14364" width="14.42578125" bestFit="1" customWidth="1"/>
    <col min="14365" max="14365" width="14.42578125" customWidth="1"/>
    <col min="14366" max="14366" width="14.42578125" bestFit="1" customWidth="1"/>
    <col min="14367" max="14367" width="14.42578125" customWidth="1"/>
    <col min="14368" max="14370" width="14.42578125" bestFit="1" customWidth="1"/>
    <col min="14371" max="14371" width="8" customWidth="1"/>
    <col min="14372" max="14372" width="17.7109375" bestFit="1" customWidth="1"/>
    <col min="14373" max="14373" width="8.42578125" customWidth="1"/>
    <col min="14374" max="14376" width="14.42578125" bestFit="1" customWidth="1"/>
    <col min="14377" max="14377" width="9.42578125" bestFit="1" customWidth="1"/>
    <col min="14378" max="14378" width="19.28515625" bestFit="1" customWidth="1"/>
    <col min="14379" max="14379" width="10" bestFit="1" customWidth="1"/>
    <col min="14380" max="14380" width="9.42578125" bestFit="1" customWidth="1"/>
    <col min="14381" max="14381" width="19.28515625" bestFit="1" customWidth="1"/>
    <col min="14382" max="14382" width="10" bestFit="1" customWidth="1"/>
    <col min="14593" max="14593" width="19.7109375" customWidth="1"/>
    <col min="14594" max="14595" width="34.42578125" customWidth="1"/>
    <col min="14596" max="14596" width="77.42578125" customWidth="1"/>
    <col min="14597" max="14597" width="49.140625" customWidth="1"/>
    <col min="14598" max="14598" width="11.140625" customWidth="1"/>
    <col min="14599" max="14603" width="11.140625" bestFit="1" customWidth="1"/>
    <col min="14604" max="14604" width="11.140625" customWidth="1"/>
    <col min="14605" max="14606" width="12.140625" bestFit="1" customWidth="1"/>
    <col min="14607" max="14608" width="14.42578125" customWidth="1"/>
    <col min="14609" max="14615" width="14.42578125" bestFit="1" customWidth="1"/>
    <col min="14616" max="14617" width="14.42578125" customWidth="1"/>
    <col min="14618" max="14620" width="14.42578125" bestFit="1" customWidth="1"/>
    <col min="14621" max="14621" width="14.42578125" customWidth="1"/>
    <col min="14622" max="14622" width="14.42578125" bestFit="1" customWidth="1"/>
    <col min="14623" max="14623" width="14.42578125" customWidth="1"/>
    <col min="14624" max="14626" width="14.42578125" bestFit="1" customWidth="1"/>
    <col min="14627" max="14627" width="8" customWidth="1"/>
    <col min="14628" max="14628" width="17.7109375" bestFit="1" customWidth="1"/>
    <col min="14629" max="14629" width="8.42578125" customWidth="1"/>
    <col min="14630" max="14632" width="14.42578125" bestFit="1" customWidth="1"/>
    <col min="14633" max="14633" width="9.42578125" bestFit="1" customWidth="1"/>
    <col min="14634" max="14634" width="19.28515625" bestFit="1" customWidth="1"/>
    <col min="14635" max="14635" width="10" bestFit="1" customWidth="1"/>
    <col min="14636" max="14636" width="9.42578125" bestFit="1" customWidth="1"/>
    <col min="14637" max="14637" width="19.28515625" bestFit="1" customWidth="1"/>
    <col min="14638" max="14638" width="10" bestFit="1" customWidth="1"/>
    <col min="14849" max="14849" width="19.7109375" customWidth="1"/>
    <col min="14850" max="14851" width="34.42578125" customWidth="1"/>
    <col min="14852" max="14852" width="77.42578125" customWidth="1"/>
    <col min="14853" max="14853" width="49.140625" customWidth="1"/>
    <col min="14854" max="14854" width="11.140625" customWidth="1"/>
    <col min="14855" max="14859" width="11.140625" bestFit="1" customWidth="1"/>
    <col min="14860" max="14860" width="11.140625" customWidth="1"/>
    <col min="14861" max="14862" width="12.140625" bestFit="1" customWidth="1"/>
    <col min="14863" max="14864" width="14.42578125" customWidth="1"/>
    <col min="14865" max="14871" width="14.42578125" bestFit="1" customWidth="1"/>
    <col min="14872" max="14873" width="14.42578125" customWidth="1"/>
    <col min="14874" max="14876" width="14.42578125" bestFit="1" customWidth="1"/>
    <col min="14877" max="14877" width="14.42578125" customWidth="1"/>
    <col min="14878" max="14878" width="14.42578125" bestFit="1" customWidth="1"/>
    <col min="14879" max="14879" width="14.42578125" customWidth="1"/>
    <col min="14880" max="14882" width="14.42578125" bestFit="1" customWidth="1"/>
    <col min="14883" max="14883" width="8" customWidth="1"/>
    <col min="14884" max="14884" width="17.7109375" bestFit="1" customWidth="1"/>
    <col min="14885" max="14885" width="8.42578125" customWidth="1"/>
    <col min="14886" max="14888" width="14.42578125" bestFit="1" customWidth="1"/>
    <col min="14889" max="14889" width="9.42578125" bestFit="1" customWidth="1"/>
    <col min="14890" max="14890" width="19.28515625" bestFit="1" customWidth="1"/>
    <col min="14891" max="14891" width="10" bestFit="1" customWidth="1"/>
    <col min="14892" max="14892" width="9.42578125" bestFit="1" customWidth="1"/>
    <col min="14893" max="14893" width="19.28515625" bestFit="1" customWidth="1"/>
    <col min="14894" max="14894" width="10" bestFit="1" customWidth="1"/>
    <col min="15105" max="15105" width="19.7109375" customWidth="1"/>
    <col min="15106" max="15107" width="34.42578125" customWidth="1"/>
    <col min="15108" max="15108" width="77.42578125" customWidth="1"/>
    <col min="15109" max="15109" width="49.140625" customWidth="1"/>
    <col min="15110" max="15110" width="11.140625" customWidth="1"/>
    <col min="15111" max="15115" width="11.140625" bestFit="1" customWidth="1"/>
    <col min="15116" max="15116" width="11.140625" customWidth="1"/>
    <col min="15117" max="15118" width="12.140625" bestFit="1" customWidth="1"/>
    <col min="15119" max="15120" width="14.42578125" customWidth="1"/>
    <col min="15121" max="15127" width="14.42578125" bestFit="1" customWidth="1"/>
    <col min="15128" max="15129" width="14.42578125" customWidth="1"/>
    <col min="15130" max="15132" width="14.42578125" bestFit="1" customWidth="1"/>
    <col min="15133" max="15133" width="14.42578125" customWidth="1"/>
    <col min="15134" max="15134" width="14.42578125" bestFit="1" customWidth="1"/>
    <col min="15135" max="15135" width="14.42578125" customWidth="1"/>
    <col min="15136" max="15138" width="14.42578125" bestFit="1" customWidth="1"/>
    <col min="15139" max="15139" width="8" customWidth="1"/>
    <col min="15140" max="15140" width="17.7109375" bestFit="1" customWidth="1"/>
    <col min="15141" max="15141" width="8.42578125" customWidth="1"/>
    <col min="15142" max="15144" width="14.42578125" bestFit="1" customWidth="1"/>
    <col min="15145" max="15145" width="9.42578125" bestFit="1" customWidth="1"/>
    <col min="15146" max="15146" width="19.28515625" bestFit="1" customWidth="1"/>
    <col min="15147" max="15147" width="10" bestFit="1" customWidth="1"/>
    <col min="15148" max="15148" width="9.42578125" bestFit="1" customWidth="1"/>
    <col min="15149" max="15149" width="19.28515625" bestFit="1" customWidth="1"/>
    <col min="15150" max="15150" width="10" bestFit="1" customWidth="1"/>
    <col min="15361" max="15361" width="19.7109375" customWidth="1"/>
    <col min="15362" max="15363" width="34.42578125" customWidth="1"/>
    <col min="15364" max="15364" width="77.42578125" customWidth="1"/>
    <col min="15365" max="15365" width="49.140625" customWidth="1"/>
    <col min="15366" max="15366" width="11.140625" customWidth="1"/>
    <col min="15367" max="15371" width="11.140625" bestFit="1" customWidth="1"/>
    <col min="15372" max="15372" width="11.140625" customWidth="1"/>
    <col min="15373" max="15374" width="12.140625" bestFit="1" customWidth="1"/>
    <col min="15375" max="15376" width="14.42578125" customWidth="1"/>
    <col min="15377" max="15383" width="14.42578125" bestFit="1" customWidth="1"/>
    <col min="15384" max="15385" width="14.42578125" customWidth="1"/>
    <col min="15386" max="15388" width="14.42578125" bestFit="1" customWidth="1"/>
    <col min="15389" max="15389" width="14.42578125" customWidth="1"/>
    <col min="15390" max="15390" width="14.42578125" bestFit="1" customWidth="1"/>
    <col min="15391" max="15391" width="14.42578125" customWidth="1"/>
    <col min="15392" max="15394" width="14.42578125" bestFit="1" customWidth="1"/>
    <col min="15395" max="15395" width="8" customWidth="1"/>
    <col min="15396" max="15396" width="17.7109375" bestFit="1" customWidth="1"/>
    <col min="15397" max="15397" width="8.42578125" customWidth="1"/>
    <col min="15398" max="15400" width="14.42578125" bestFit="1" customWidth="1"/>
    <col min="15401" max="15401" width="9.42578125" bestFit="1" customWidth="1"/>
    <col min="15402" max="15402" width="19.28515625" bestFit="1" customWidth="1"/>
    <col min="15403" max="15403" width="10" bestFit="1" customWidth="1"/>
    <col min="15404" max="15404" width="9.42578125" bestFit="1" customWidth="1"/>
    <col min="15405" max="15405" width="19.28515625" bestFit="1" customWidth="1"/>
    <col min="15406" max="15406" width="10" bestFit="1" customWidth="1"/>
    <col min="15617" max="15617" width="19.7109375" customWidth="1"/>
    <col min="15618" max="15619" width="34.42578125" customWidth="1"/>
    <col min="15620" max="15620" width="77.42578125" customWidth="1"/>
    <col min="15621" max="15621" width="49.140625" customWidth="1"/>
    <col min="15622" max="15622" width="11.140625" customWidth="1"/>
    <col min="15623" max="15627" width="11.140625" bestFit="1" customWidth="1"/>
    <col min="15628" max="15628" width="11.140625" customWidth="1"/>
    <col min="15629" max="15630" width="12.140625" bestFit="1" customWidth="1"/>
    <col min="15631" max="15632" width="14.42578125" customWidth="1"/>
    <col min="15633" max="15639" width="14.42578125" bestFit="1" customWidth="1"/>
    <col min="15640" max="15641" width="14.42578125" customWidth="1"/>
    <col min="15642" max="15644" width="14.42578125" bestFit="1" customWidth="1"/>
    <col min="15645" max="15645" width="14.42578125" customWidth="1"/>
    <col min="15646" max="15646" width="14.42578125" bestFit="1" customWidth="1"/>
    <col min="15647" max="15647" width="14.42578125" customWidth="1"/>
    <col min="15648" max="15650" width="14.42578125" bestFit="1" customWidth="1"/>
    <col min="15651" max="15651" width="8" customWidth="1"/>
    <col min="15652" max="15652" width="17.7109375" bestFit="1" customWidth="1"/>
    <col min="15653" max="15653" width="8.42578125" customWidth="1"/>
    <col min="15654" max="15656" width="14.42578125" bestFit="1" customWidth="1"/>
    <col min="15657" max="15657" width="9.42578125" bestFit="1" customWidth="1"/>
    <col min="15658" max="15658" width="19.28515625" bestFit="1" customWidth="1"/>
    <col min="15659" max="15659" width="10" bestFit="1" customWidth="1"/>
    <col min="15660" max="15660" width="9.42578125" bestFit="1" customWidth="1"/>
    <col min="15661" max="15661" width="19.28515625" bestFit="1" customWidth="1"/>
    <col min="15662" max="15662" width="10" bestFit="1" customWidth="1"/>
    <col min="15873" max="15873" width="19.7109375" customWidth="1"/>
    <col min="15874" max="15875" width="34.42578125" customWidth="1"/>
    <col min="15876" max="15876" width="77.42578125" customWidth="1"/>
    <col min="15877" max="15877" width="49.140625" customWidth="1"/>
    <col min="15878" max="15878" width="11.140625" customWidth="1"/>
    <col min="15879" max="15883" width="11.140625" bestFit="1" customWidth="1"/>
    <col min="15884" max="15884" width="11.140625" customWidth="1"/>
    <col min="15885" max="15886" width="12.140625" bestFit="1" customWidth="1"/>
    <col min="15887" max="15888" width="14.42578125" customWidth="1"/>
    <col min="15889" max="15895" width="14.42578125" bestFit="1" customWidth="1"/>
    <col min="15896" max="15897" width="14.42578125" customWidth="1"/>
    <col min="15898" max="15900" width="14.42578125" bestFit="1" customWidth="1"/>
    <col min="15901" max="15901" width="14.42578125" customWidth="1"/>
    <col min="15902" max="15902" width="14.42578125" bestFit="1" customWidth="1"/>
    <col min="15903" max="15903" width="14.42578125" customWidth="1"/>
    <col min="15904" max="15906" width="14.42578125" bestFit="1" customWidth="1"/>
    <col min="15907" max="15907" width="8" customWidth="1"/>
    <col min="15908" max="15908" width="17.7109375" bestFit="1" customWidth="1"/>
    <col min="15909" max="15909" width="8.42578125" customWidth="1"/>
    <col min="15910" max="15912" width="14.42578125" bestFit="1" customWidth="1"/>
    <col min="15913" max="15913" width="9.42578125" bestFit="1" customWidth="1"/>
    <col min="15914" max="15914" width="19.28515625" bestFit="1" customWidth="1"/>
    <col min="15915" max="15915" width="10" bestFit="1" customWidth="1"/>
    <col min="15916" max="15916" width="9.42578125" bestFit="1" customWidth="1"/>
    <col min="15917" max="15917" width="19.28515625" bestFit="1" customWidth="1"/>
    <col min="15918" max="15918" width="10" bestFit="1" customWidth="1"/>
    <col min="16129" max="16129" width="19.7109375" customWidth="1"/>
    <col min="16130" max="16131" width="34.42578125" customWidth="1"/>
    <col min="16132" max="16132" width="77.42578125" customWidth="1"/>
    <col min="16133" max="16133" width="49.140625" customWidth="1"/>
    <col min="16134" max="16134" width="11.140625" customWidth="1"/>
    <col min="16135" max="16139" width="11.140625" bestFit="1" customWidth="1"/>
    <col min="16140" max="16140" width="11.140625" customWidth="1"/>
    <col min="16141" max="16142" width="12.140625" bestFit="1" customWidth="1"/>
    <col min="16143" max="16144" width="14.42578125" customWidth="1"/>
    <col min="16145" max="16151" width="14.42578125" bestFit="1" customWidth="1"/>
    <col min="16152" max="16153" width="14.42578125" customWidth="1"/>
    <col min="16154" max="16156" width="14.42578125" bestFit="1" customWidth="1"/>
    <col min="16157" max="16157" width="14.42578125" customWidth="1"/>
    <col min="16158" max="16158" width="14.42578125" bestFit="1" customWidth="1"/>
    <col min="16159" max="16159" width="14.42578125" customWidth="1"/>
    <col min="16160" max="16162" width="14.42578125" bestFit="1" customWidth="1"/>
    <col min="16163" max="16163" width="8" customWidth="1"/>
    <col min="16164" max="16164" width="17.7109375" bestFit="1" customWidth="1"/>
    <col min="16165" max="16165" width="8.42578125" customWidth="1"/>
    <col min="16166" max="16168" width="14.42578125" bestFit="1" customWidth="1"/>
    <col min="16169" max="16169" width="9.42578125" bestFit="1" customWidth="1"/>
    <col min="16170" max="16170" width="19.28515625" bestFit="1" customWidth="1"/>
    <col min="16171" max="16171" width="10" bestFit="1" customWidth="1"/>
    <col min="16172" max="16172" width="9.42578125" bestFit="1" customWidth="1"/>
    <col min="16173" max="16173" width="19.28515625" bestFit="1" customWidth="1"/>
    <col min="16174" max="16174" width="10" bestFit="1" customWidth="1"/>
  </cols>
  <sheetData>
    <row r="3" spans="1:13" x14ac:dyDescent="0.2">
      <c r="A3" s="2" t="s">
        <v>1</v>
      </c>
      <c r="B3" s="5"/>
      <c r="C3" s="5"/>
      <c r="D3" s="5"/>
      <c r="E3" s="5"/>
      <c r="F3" s="2" t="s">
        <v>0</v>
      </c>
      <c r="G3" s="5"/>
      <c r="H3" s="5"/>
      <c r="I3" s="5"/>
      <c r="J3" s="5"/>
      <c r="K3" s="5"/>
      <c r="L3" s="5"/>
      <c r="M3" s="27"/>
    </row>
    <row r="4" spans="1:13" x14ac:dyDescent="0.2">
      <c r="A4" s="2" t="s">
        <v>8</v>
      </c>
      <c r="B4" s="2" t="s">
        <v>10</v>
      </c>
      <c r="C4" s="2" t="s">
        <v>13</v>
      </c>
      <c r="D4" s="2" t="s">
        <v>18</v>
      </c>
      <c r="E4" s="2" t="s">
        <v>37</v>
      </c>
      <c r="F4" s="28" t="s">
        <v>130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6</v>
      </c>
      <c r="L4" s="29" t="s">
        <v>131</v>
      </c>
      <c r="M4" s="30" t="s">
        <v>7</v>
      </c>
    </row>
    <row r="5" spans="1:13" x14ac:dyDescent="0.2">
      <c r="A5" s="1" t="s">
        <v>132</v>
      </c>
      <c r="B5" s="1" t="s">
        <v>132</v>
      </c>
      <c r="C5" s="5"/>
      <c r="D5" s="5"/>
      <c r="E5" s="5"/>
      <c r="F5" s="28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30">
        <v>0</v>
      </c>
    </row>
    <row r="6" spans="1:13" x14ac:dyDescent="0.2">
      <c r="A6" s="3"/>
      <c r="B6" s="1" t="s">
        <v>11</v>
      </c>
      <c r="C6" s="1" t="s">
        <v>11</v>
      </c>
      <c r="D6" s="5"/>
      <c r="E6" s="5"/>
      <c r="F6" s="28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30">
        <v>0</v>
      </c>
    </row>
    <row r="7" spans="1:13" x14ac:dyDescent="0.2">
      <c r="A7" s="3"/>
      <c r="B7" s="3"/>
      <c r="C7" s="1" t="s">
        <v>14</v>
      </c>
      <c r="D7" s="1" t="s">
        <v>14</v>
      </c>
      <c r="E7" s="5"/>
      <c r="F7" s="28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30">
        <v>0</v>
      </c>
    </row>
    <row r="8" spans="1:13" x14ac:dyDescent="0.2">
      <c r="A8" s="3"/>
      <c r="B8" s="3"/>
      <c r="C8" s="3"/>
      <c r="D8" s="1" t="s">
        <v>19</v>
      </c>
      <c r="E8" s="1" t="s">
        <v>19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30">
        <v>0</v>
      </c>
    </row>
    <row r="9" spans="1:13" x14ac:dyDescent="0.2">
      <c r="A9" s="3"/>
      <c r="B9" s="3"/>
      <c r="C9" s="3"/>
      <c r="D9" s="3"/>
      <c r="E9" s="6" t="s">
        <v>38</v>
      </c>
      <c r="F9" s="31">
        <v>0</v>
      </c>
      <c r="G9" s="32">
        <v>699999.9099999998</v>
      </c>
      <c r="H9" s="32">
        <v>1050000.1200000015</v>
      </c>
      <c r="I9" s="32">
        <v>1049999.9800000007</v>
      </c>
      <c r="J9" s="32">
        <v>0</v>
      </c>
      <c r="K9" s="32">
        <v>0</v>
      </c>
      <c r="L9" s="32">
        <v>0</v>
      </c>
      <c r="M9" s="33">
        <v>2800000.0100000016</v>
      </c>
    </row>
    <row r="10" spans="1:13" x14ac:dyDescent="0.2">
      <c r="A10" s="3"/>
      <c r="B10" s="3"/>
      <c r="C10" s="3"/>
      <c r="D10" s="1" t="s">
        <v>39</v>
      </c>
      <c r="E10" s="5"/>
      <c r="F10" s="28">
        <v>0</v>
      </c>
      <c r="G10" s="29">
        <v>699999.9099999998</v>
      </c>
      <c r="H10" s="29">
        <v>1050000.1200000015</v>
      </c>
      <c r="I10" s="29">
        <v>1049999.9800000007</v>
      </c>
      <c r="J10" s="29">
        <v>0</v>
      </c>
      <c r="K10" s="29">
        <v>0</v>
      </c>
      <c r="L10" s="29">
        <v>0</v>
      </c>
      <c r="M10" s="30">
        <v>2800000.0100000016</v>
      </c>
    </row>
    <row r="11" spans="1:13" x14ac:dyDescent="0.2">
      <c r="A11" s="3"/>
      <c r="B11" s="3"/>
      <c r="C11" s="3"/>
      <c r="D11" s="1" t="s">
        <v>20</v>
      </c>
      <c r="E11" s="1" t="s">
        <v>20</v>
      </c>
      <c r="F11" s="28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v>0</v>
      </c>
    </row>
    <row r="12" spans="1:13" x14ac:dyDescent="0.2">
      <c r="A12" s="3"/>
      <c r="B12" s="3"/>
      <c r="C12" s="3"/>
      <c r="D12" s="3"/>
      <c r="E12" s="6" t="s">
        <v>40</v>
      </c>
      <c r="F12" s="31">
        <v>0</v>
      </c>
      <c r="G12" s="32">
        <v>349999.9599999999</v>
      </c>
      <c r="H12" s="32">
        <v>199999.79999999981</v>
      </c>
      <c r="I12" s="32">
        <v>0</v>
      </c>
      <c r="J12" s="32">
        <v>0</v>
      </c>
      <c r="K12" s="32">
        <v>0</v>
      </c>
      <c r="L12" s="32">
        <v>0</v>
      </c>
      <c r="M12" s="33">
        <v>549999.75999999978</v>
      </c>
    </row>
    <row r="13" spans="1:13" x14ac:dyDescent="0.2">
      <c r="A13" s="3"/>
      <c r="B13" s="3"/>
      <c r="C13" s="3"/>
      <c r="D13" s="1" t="s">
        <v>41</v>
      </c>
      <c r="E13" s="5"/>
      <c r="F13" s="28">
        <v>0</v>
      </c>
      <c r="G13" s="29">
        <v>349999.9599999999</v>
      </c>
      <c r="H13" s="29">
        <v>199999.79999999981</v>
      </c>
      <c r="I13" s="29">
        <v>0</v>
      </c>
      <c r="J13" s="29">
        <v>0</v>
      </c>
      <c r="K13" s="29">
        <v>0</v>
      </c>
      <c r="L13" s="29">
        <v>0</v>
      </c>
      <c r="M13" s="30">
        <v>549999.75999999978</v>
      </c>
    </row>
    <row r="14" spans="1:13" x14ac:dyDescent="0.2">
      <c r="A14" s="3"/>
      <c r="B14" s="3"/>
      <c r="C14" s="3"/>
      <c r="D14" s="1" t="s">
        <v>21</v>
      </c>
      <c r="E14" s="1" t="s">
        <v>21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0">
        <v>0</v>
      </c>
    </row>
    <row r="15" spans="1:13" x14ac:dyDescent="0.2">
      <c r="A15" s="3"/>
      <c r="B15" s="3"/>
      <c r="C15" s="3"/>
      <c r="D15" s="3"/>
      <c r="E15" s="6" t="s">
        <v>42</v>
      </c>
      <c r="F15" s="31">
        <v>0</v>
      </c>
      <c r="G15" s="32">
        <v>650000.13999999943</v>
      </c>
      <c r="H15" s="32">
        <v>849999.80000000075</v>
      </c>
      <c r="I15" s="32">
        <v>0</v>
      </c>
      <c r="J15" s="32">
        <v>0</v>
      </c>
      <c r="K15" s="32">
        <v>0</v>
      </c>
      <c r="L15" s="32">
        <v>0</v>
      </c>
      <c r="M15" s="33">
        <v>1499999.9400000002</v>
      </c>
    </row>
    <row r="16" spans="1:13" x14ac:dyDescent="0.2">
      <c r="A16" s="3"/>
      <c r="B16" s="3"/>
      <c r="C16" s="3"/>
      <c r="D16" s="1" t="s">
        <v>43</v>
      </c>
      <c r="E16" s="5"/>
      <c r="F16" s="28">
        <v>0</v>
      </c>
      <c r="G16" s="29">
        <v>650000.13999999943</v>
      </c>
      <c r="H16" s="29">
        <v>849999.80000000075</v>
      </c>
      <c r="I16" s="29">
        <v>0</v>
      </c>
      <c r="J16" s="29">
        <v>0</v>
      </c>
      <c r="K16" s="29">
        <v>0</v>
      </c>
      <c r="L16" s="29">
        <v>0</v>
      </c>
      <c r="M16" s="30">
        <v>1499999.9400000002</v>
      </c>
    </row>
    <row r="17" spans="1:13" x14ac:dyDescent="0.2">
      <c r="A17" s="3"/>
      <c r="B17" s="3"/>
      <c r="C17" s="3"/>
      <c r="D17" s="1" t="s">
        <v>22</v>
      </c>
      <c r="E17" s="1" t="s">
        <v>22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0</v>
      </c>
    </row>
    <row r="18" spans="1:13" x14ac:dyDescent="0.2">
      <c r="A18" s="3"/>
      <c r="B18" s="3"/>
      <c r="C18" s="3"/>
      <c r="D18" s="3"/>
      <c r="E18" s="6" t="s">
        <v>44</v>
      </c>
      <c r="F18" s="31">
        <v>0</v>
      </c>
      <c r="G18" s="32">
        <v>1000000.0999999995</v>
      </c>
      <c r="H18" s="32">
        <v>599999.92000000016</v>
      </c>
      <c r="I18" s="32">
        <v>599999.92000000004</v>
      </c>
      <c r="J18" s="32">
        <v>800000.23999999976</v>
      </c>
      <c r="K18" s="32">
        <v>0</v>
      </c>
      <c r="L18" s="32">
        <v>0</v>
      </c>
      <c r="M18" s="33">
        <v>3000000.1799999992</v>
      </c>
    </row>
    <row r="19" spans="1:13" x14ac:dyDescent="0.2">
      <c r="A19" s="3"/>
      <c r="B19" s="3"/>
      <c r="C19" s="3"/>
      <c r="D19" s="1" t="s">
        <v>46</v>
      </c>
      <c r="E19" s="5"/>
      <c r="F19" s="28">
        <v>0</v>
      </c>
      <c r="G19" s="29">
        <v>1000000.0999999995</v>
      </c>
      <c r="H19" s="29">
        <v>599999.92000000016</v>
      </c>
      <c r="I19" s="29">
        <v>599999.92000000004</v>
      </c>
      <c r="J19" s="29">
        <v>800000.23999999976</v>
      </c>
      <c r="K19" s="29">
        <v>0</v>
      </c>
      <c r="L19" s="29">
        <v>0</v>
      </c>
      <c r="M19" s="30">
        <v>3000000.1799999992</v>
      </c>
    </row>
    <row r="20" spans="1:13" x14ac:dyDescent="0.2">
      <c r="A20" s="3"/>
      <c r="B20" s="3"/>
      <c r="C20" s="3"/>
      <c r="D20" s="1" t="s">
        <v>133</v>
      </c>
      <c r="E20" s="1" t="s">
        <v>133</v>
      </c>
      <c r="F20" s="28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30">
        <v>0</v>
      </c>
    </row>
    <row r="21" spans="1:13" x14ac:dyDescent="0.2">
      <c r="A21" s="3"/>
      <c r="B21" s="3"/>
      <c r="C21" s="3"/>
      <c r="D21" s="3"/>
      <c r="E21" s="6" t="s">
        <v>45</v>
      </c>
      <c r="F21" s="31">
        <v>0</v>
      </c>
      <c r="G21" s="32">
        <v>536459.92000000027</v>
      </c>
      <c r="H21" s="32">
        <v>357639.88000000006</v>
      </c>
      <c r="I21" s="32">
        <v>357639.88000000006</v>
      </c>
      <c r="J21" s="32">
        <v>357639.89000000007</v>
      </c>
      <c r="K21" s="32">
        <v>178822.06</v>
      </c>
      <c r="L21" s="32">
        <v>0</v>
      </c>
      <c r="M21" s="33">
        <v>1788201.6300000006</v>
      </c>
    </row>
    <row r="22" spans="1:13" x14ac:dyDescent="0.2">
      <c r="A22" s="3"/>
      <c r="B22" s="3"/>
      <c r="C22" s="3"/>
      <c r="D22" s="1" t="s">
        <v>107</v>
      </c>
      <c r="E22" s="5"/>
      <c r="F22" s="28">
        <v>0</v>
      </c>
      <c r="G22" s="29">
        <v>536459.92000000027</v>
      </c>
      <c r="H22" s="29">
        <v>357639.88000000006</v>
      </c>
      <c r="I22" s="29">
        <v>357639.88000000006</v>
      </c>
      <c r="J22" s="29">
        <v>357639.89000000007</v>
      </c>
      <c r="K22" s="29">
        <v>178822.06</v>
      </c>
      <c r="L22" s="29">
        <v>0</v>
      </c>
      <c r="M22" s="30">
        <v>1788201.6300000006</v>
      </c>
    </row>
    <row r="23" spans="1:13" x14ac:dyDescent="0.2">
      <c r="A23" s="3"/>
      <c r="B23" s="3"/>
      <c r="C23" s="3"/>
      <c r="D23" s="1" t="s">
        <v>108</v>
      </c>
      <c r="E23" s="1" t="s">
        <v>108</v>
      </c>
      <c r="F23" s="28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30">
        <v>0</v>
      </c>
    </row>
    <row r="24" spans="1:13" x14ac:dyDescent="0.2">
      <c r="A24" s="3"/>
      <c r="B24" s="3"/>
      <c r="C24" s="3"/>
      <c r="D24" s="3"/>
      <c r="E24" s="6" t="s">
        <v>47</v>
      </c>
      <c r="F24" s="31">
        <v>0</v>
      </c>
      <c r="G24" s="32">
        <v>200000.12000000017</v>
      </c>
      <c r="H24" s="32">
        <v>2799999.7999999975</v>
      </c>
      <c r="I24" s="32">
        <v>4059999.8399999975</v>
      </c>
      <c r="J24" s="32">
        <v>1939999.889999998</v>
      </c>
      <c r="K24" s="32">
        <v>0</v>
      </c>
      <c r="L24" s="32">
        <v>0</v>
      </c>
      <c r="M24" s="33">
        <v>8999999.6499999929</v>
      </c>
    </row>
    <row r="25" spans="1:13" x14ac:dyDescent="0.2">
      <c r="A25" s="3"/>
      <c r="B25" s="3"/>
      <c r="C25" s="3"/>
      <c r="D25" s="1" t="s">
        <v>109</v>
      </c>
      <c r="E25" s="5"/>
      <c r="F25" s="28">
        <v>0</v>
      </c>
      <c r="G25" s="29">
        <v>200000.12000000017</v>
      </c>
      <c r="H25" s="29">
        <v>2799999.7999999975</v>
      </c>
      <c r="I25" s="29">
        <v>4059999.8399999975</v>
      </c>
      <c r="J25" s="29">
        <v>1939999.889999998</v>
      </c>
      <c r="K25" s="29">
        <v>0</v>
      </c>
      <c r="L25" s="29">
        <v>0</v>
      </c>
      <c r="M25" s="30">
        <v>8999999.6499999929</v>
      </c>
    </row>
    <row r="26" spans="1:13" x14ac:dyDescent="0.2">
      <c r="A26" s="3"/>
      <c r="B26" s="3"/>
      <c r="C26" s="3"/>
      <c r="D26" s="1" t="s">
        <v>110</v>
      </c>
      <c r="E26" s="1" t="s">
        <v>110</v>
      </c>
      <c r="F26" s="28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30">
        <v>0</v>
      </c>
    </row>
    <row r="27" spans="1:13" x14ac:dyDescent="0.2">
      <c r="A27" s="3"/>
      <c r="B27" s="3"/>
      <c r="C27" s="3"/>
      <c r="D27" s="3"/>
      <c r="E27" s="6" t="s">
        <v>49</v>
      </c>
      <c r="F27" s="31">
        <v>0</v>
      </c>
      <c r="G27" s="32">
        <v>0</v>
      </c>
      <c r="H27" s="32">
        <v>1000000.0400000006</v>
      </c>
      <c r="I27" s="32">
        <v>2499999.839999998</v>
      </c>
      <c r="J27" s="32">
        <v>1499999.7999999991</v>
      </c>
      <c r="K27" s="32">
        <v>0</v>
      </c>
      <c r="L27" s="32">
        <v>0</v>
      </c>
      <c r="M27" s="33">
        <v>4999999.6799999978</v>
      </c>
    </row>
    <row r="28" spans="1:13" x14ac:dyDescent="0.2">
      <c r="A28" s="3"/>
      <c r="B28" s="3"/>
      <c r="C28" s="3"/>
      <c r="D28" s="1" t="s">
        <v>111</v>
      </c>
      <c r="E28" s="5"/>
      <c r="F28" s="28">
        <v>0</v>
      </c>
      <c r="G28" s="29">
        <v>0</v>
      </c>
      <c r="H28" s="29">
        <v>1000000.0400000006</v>
      </c>
      <c r="I28" s="29">
        <v>2499999.839999998</v>
      </c>
      <c r="J28" s="29">
        <v>1499999.7999999991</v>
      </c>
      <c r="K28" s="29">
        <v>0</v>
      </c>
      <c r="L28" s="29">
        <v>0</v>
      </c>
      <c r="M28" s="30">
        <v>4999999.6799999978</v>
      </c>
    </row>
    <row r="29" spans="1:13" x14ac:dyDescent="0.2">
      <c r="A29" s="3"/>
      <c r="B29" s="3"/>
      <c r="C29" s="3"/>
      <c r="D29" s="1" t="s">
        <v>112</v>
      </c>
      <c r="E29" s="1" t="s">
        <v>112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0">
        <v>0</v>
      </c>
    </row>
    <row r="30" spans="1:13" x14ac:dyDescent="0.2">
      <c r="A30" s="3"/>
      <c r="B30" s="3"/>
      <c r="C30" s="3"/>
      <c r="D30" s="3"/>
      <c r="E30" s="6" t="s">
        <v>51</v>
      </c>
      <c r="F30" s="31">
        <v>0</v>
      </c>
      <c r="G30" s="32">
        <v>2199999.8000000012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3">
        <v>2199999.8000000012</v>
      </c>
    </row>
    <row r="31" spans="1:13" x14ac:dyDescent="0.2">
      <c r="A31" s="3"/>
      <c r="B31" s="3"/>
      <c r="C31" s="3"/>
      <c r="D31" s="1" t="s">
        <v>113</v>
      </c>
      <c r="E31" s="5"/>
      <c r="F31" s="28">
        <v>0</v>
      </c>
      <c r="G31" s="29">
        <v>2199999.8000000012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30">
        <v>2199999.8000000012</v>
      </c>
    </row>
    <row r="32" spans="1:13" x14ac:dyDescent="0.2">
      <c r="A32" s="3"/>
      <c r="B32" s="3"/>
      <c r="C32" s="3"/>
      <c r="D32" s="1" t="s">
        <v>114</v>
      </c>
      <c r="E32" s="1" t="s">
        <v>114</v>
      </c>
      <c r="F32" s="28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30">
        <v>0</v>
      </c>
    </row>
    <row r="33" spans="1:13" x14ac:dyDescent="0.2">
      <c r="A33" s="3"/>
      <c r="B33" s="3"/>
      <c r="C33" s="3"/>
      <c r="D33" s="3"/>
      <c r="E33" s="6" t="s">
        <v>53</v>
      </c>
      <c r="F33" s="31">
        <v>0</v>
      </c>
      <c r="G33" s="32">
        <v>200000.12000000017</v>
      </c>
      <c r="H33" s="32">
        <v>450000.1999999996</v>
      </c>
      <c r="I33" s="32">
        <v>450000.1999999996</v>
      </c>
      <c r="J33" s="32">
        <v>199999.79999999981</v>
      </c>
      <c r="K33" s="32">
        <v>200000.12000000017</v>
      </c>
      <c r="L33" s="32">
        <v>0</v>
      </c>
      <c r="M33" s="33">
        <v>1500000.4399999995</v>
      </c>
    </row>
    <row r="34" spans="1:13" x14ac:dyDescent="0.2">
      <c r="A34" s="3"/>
      <c r="B34" s="3"/>
      <c r="C34" s="3"/>
      <c r="D34" s="1" t="s">
        <v>115</v>
      </c>
      <c r="E34" s="5"/>
      <c r="F34" s="28">
        <v>0</v>
      </c>
      <c r="G34" s="29">
        <v>200000.12000000017</v>
      </c>
      <c r="H34" s="29">
        <v>450000.1999999996</v>
      </c>
      <c r="I34" s="29">
        <v>450000.1999999996</v>
      </c>
      <c r="J34" s="29">
        <v>199999.79999999981</v>
      </c>
      <c r="K34" s="29">
        <v>200000.12000000017</v>
      </c>
      <c r="L34" s="29">
        <v>0</v>
      </c>
      <c r="M34" s="30">
        <v>1500000.4399999995</v>
      </c>
    </row>
    <row r="35" spans="1:13" x14ac:dyDescent="0.2">
      <c r="A35" s="3"/>
      <c r="B35" s="3"/>
      <c r="C35" s="1" t="s">
        <v>27</v>
      </c>
      <c r="D35" s="5"/>
      <c r="E35" s="5"/>
      <c r="F35" s="28">
        <v>0</v>
      </c>
      <c r="G35" s="29">
        <v>5836460.0700000003</v>
      </c>
      <c r="H35" s="29">
        <v>7307639.5600000005</v>
      </c>
      <c r="I35" s="29">
        <v>9017639.6599999964</v>
      </c>
      <c r="J35" s="29">
        <v>4797639.6199999964</v>
      </c>
      <c r="K35" s="29">
        <v>378822.18000000017</v>
      </c>
      <c r="L35" s="29">
        <v>0</v>
      </c>
      <c r="M35" s="30">
        <v>27338201.09</v>
      </c>
    </row>
    <row r="36" spans="1:13" x14ac:dyDescent="0.2">
      <c r="A36" s="3"/>
      <c r="B36" s="3"/>
      <c r="C36" s="1" t="s">
        <v>15</v>
      </c>
      <c r="D36" s="1" t="s">
        <v>15</v>
      </c>
      <c r="E36" s="5"/>
      <c r="F36" s="28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30">
        <v>0</v>
      </c>
    </row>
    <row r="37" spans="1:13" x14ac:dyDescent="0.2">
      <c r="A37" s="3"/>
      <c r="B37" s="3"/>
      <c r="C37" s="3"/>
      <c r="D37" s="1" t="s">
        <v>116</v>
      </c>
      <c r="E37" s="1" t="s">
        <v>116</v>
      </c>
      <c r="F37" s="28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0</v>
      </c>
    </row>
    <row r="38" spans="1:13" x14ac:dyDescent="0.2">
      <c r="A38" s="3"/>
      <c r="B38" s="3"/>
      <c r="C38" s="3"/>
      <c r="D38" s="3"/>
      <c r="E38" s="6" t="s">
        <v>134</v>
      </c>
      <c r="F38" s="31">
        <v>0</v>
      </c>
      <c r="G38" s="32">
        <v>1500000.060000001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3">
        <v>1500000.060000001</v>
      </c>
    </row>
    <row r="39" spans="1:13" x14ac:dyDescent="0.2">
      <c r="A39" s="3"/>
      <c r="B39" s="3"/>
      <c r="C39" s="3"/>
      <c r="D39" s="3"/>
      <c r="E39" s="6" t="s">
        <v>56</v>
      </c>
      <c r="F39" s="31">
        <v>0</v>
      </c>
      <c r="G39" s="32">
        <v>3011494.2899999986</v>
      </c>
      <c r="H39" s="32">
        <v>2988505.7799999989</v>
      </c>
      <c r="I39" s="32">
        <v>8999999.839999998</v>
      </c>
      <c r="J39" s="32">
        <v>8999999.839999998</v>
      </c>
      <c r="K39" s="32">
        <v>6000000.0599999996</v>
      </c>
      <c r="L39" s="32">
        <v>0</v>
      </c>
      <c r="M39" s="33">
        <v>29999999.809999991</v>
      </c>
    </row>
    <row r="40" spans="1:13" x14ac:dyDescent="0.2">
      <c r="A40" s="3"/>
      <c r="B40" s="3"/>
      <c r="C40" s="3"/>
      <c r="D40" s="3"/>
      <c r="E40" s="6" t="s">
        <v>57</v>
      </c>
      <c r="F40" s="31">
        <v>0</v>
      </c>
      <c r="G40" s="32">
        <v>0</v>
      </c>
      <c r="H40" s="32">
        <v>0</v>
      </c>
      <c r="I40" s="32">
        <v>6000000.2300000042</v>
      </c>
      <c r="J40" s="32">
        <v>7500000.0399999898</v>
      </c>
      <c r="K40" s="32">
        <v>1499999.8899999985</v>
      </c>
      <c r="L40" s="32">
        <v>0</v>
      </c>
      <c r="M40" s="33">
        <v>15000000.159999993</v>
      </c>
    </row>
    <row r="41" spans="1:13" x14ac:dyDescent="0.2">
      <c r="A41" s="3"/>
      <c r="B41" s="3"/>
      <c r="C41" s="3"/>
      <c r="D41" s="1" t="s">
        <v>117</v>
      </c>
      <c r="E41" s="5"/>
      <c r="F41" s="28">
        <v>0</v>
      </c>
      <c r="G41" s="29">
        <v>4511494.3499999996</v>
      </c>
      <c r="H41" s="29">
        <v>2988505.7799999989</v>
      </c>
      <c r="I41" s="29">
        <v>15000000.070000002</v>
      </c>
      <c r="J41" s="29">
        <v>16499999.879999988</v>
      </c>
      <c r="K41" s="29">
        <v>7499999.9499999983</v>
      </c>
      <c r="L41" s="29">
        <v>0</v>
      </c>
      <c r="M41" s="30">
        <v>46500000.029999986</v>
      </c>
    </row>
    <row r="42" spans="1:13" x14ac:dyDescent="0.2">
      <c r="A42" s="3"/>
      <c r="B42" s="3"/>
      <c r="C42" s="3"/>
      <c r="D42" s="1" t="s">
        <v>118</v>
      </c>
      <c r="E42" s="1" t="s">
        <v>118</v>
      </c>
      <c r="F42" s="28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30">
        <v>0</v>
      </c>
    </row>
    <row r="43" spans="1:13" x14ac:dyDescent="0.2">
      <c r="A43" s="3"/>
      <c r="B43" s="3"/>
      <c r="C43" s="3"/>
      <c r="D43" s="3"/>
      <c r="E43" s="6" t="s">
        <v>134</v>
      </c>
      <c r="F43" s="31">
        <v>0</v>
      </c>
      <c r="G43" s="32">
        <v>500000.02000000014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>
        <v>500000.02000000014</v>
      </c>
    </row>
    <row r="44" spans="1:13" x14ac:dyDescent="0.2">
      <c r="A44" s="3"/>
      <c r="B44" s="3"/>
      <c r="C44" s="3"/>
      <c r="D44" s="3"/>
      <c r="E44" s="6" t="s">
        <v>59</v>
      </c>
      <c r="F44" s="31">
        <v>0</v>
      </c>
      <c r="G44" s="32">
        <v>500000</v>
      </c>
      <c r="H44" s="32">
        <v>500000</v>
      </c>
      <c r="I44" s="32">
        <v>1700000.120000002</v>
      </c>
      <c r="J44" s="32">
        <v>299999.96000000002</v>
      </c>
      <c r="K44" s="32">
        <v>0</v>
      </c>
      <c r="L44" s="32">
        <v>0</v>
      </c>
      <c r="M44" s="33">
        <v>3000000.1800000025</v>
      </c>
    </row>
    <row r="45" spans="1:13" x14ac:dyDescent="0.2">
      <c r="A45" s="3"/>
      <c r="B45" s="3"/>
      <c r="C45" s="3"/>
      <c r="D45" s="3"/>
      <c r="E45" s="6" t="s">
        <v>60</v>
      </c>
      <c r="F45" s="31">
        <v>0</v>
      </c>
      <c r="G45" s="32">
        <v>0</v>
      </c>
      <c r="H45" s="32">
        <v>0</v>
      </c>
      <c r="I45" s="32">
        <v>2199999.879999998</v>
      </c>
      <c r="J45" s="32">
        <v>1466666.7599999986</v>
      </c>
      <c r="K45" s="32">
        <v>0</v>
      </c>
      <c r="L45" s="32">
        <v>0</v>
      </c>
      <c r="M45" s="33">
        <v>3666666.6399999969</v>
      </c>
    </row>
    <row r="46" spans="1:13" x14ac:dyDescent="0.2">
      <c r="A46" s="3"/>
      <c r="B46" s="3"/>
      <c r="C46" s="3"/>
      <c r="D46" s="1" t="s">
        <v>119</v>
      </c>
      <c r="E46" s="5"/>
      <c r="F46" s="28">
        <v>0</v>
      </c>
      <c r="G46" s="29">
        <v>1001915.7800000005</v>
      </c>
      <c r="H46" s="29">
        <v>498084.34000000032</v>
      </c>
      <c r="I46" s="29">
        <v>3900000</v>
      </c>
      <c r="J46" s="29">
        <v>1766666.7199999986</v>
      </c>
      <c r="K46" s="29">
        <v>0</v>
      </c>
      <c r="L46" s="29">
        <v>0</v>
      </c>
      <c r="M46" s="30">
        <v>7166666.8399999999</v>
      </c>
    </row>
    <row r="47" spans="1:13" x14ac:dyDescent="0.2">
      <c r="A47" s="3"/>
      <c r="B47" s="3"/>
      <c r="C47" s="3"/>
      <c r="D47" s="1" t="s">
        <v>120</v>
      </c>
      <c r="E47" s="1" t="s">
        <v>120</v>
      </c>
      <c r="F47" s="28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30">
        <v>0</v>
      </c>
    </row>
    <row r="48" spans="1:13" x14ac:dyDescent="0.2">
      <c r="A48" s="3"/>
      <c r="B48" s="3"/>
      <c r="C48" s="3"/>
      <c r="D48" s="3"/>
      <c r="E48" s="6" t="s">
        <v>62</v>
      </c>
      <c r="F48" s="31">
        <v>0</v>
      </c>
      <c r="G48" s="32">
        <v>702681.9</v>
      </c>
      <c r="H48" s="32">
        <v>2497317.9400000004</v>
      </c>
      <c r="I48" s="32">
        <v>2303846.1900000004</v>
      </c>
      <c r="J48" s="32">
        <v>496153.87000000017</v>
      </c>
      <c r="K48" s="32">
        <v>0</v>
      </c>
      <c r="L48" s="32">
        <v>0</v>
      </c>
      <c r="M48" s="33">
        <v>5999999.9000000013</v>
      </c>
    </row>
    <row r="49" spans="1:13" x14ac:dyDescent="0.2">
      <c r="A49" s="3"/>
      <c r="B49" s="3"/>
      <c r="C49" s="3"/>
      <c r="D49" s="3"/>
      <c r="E49" s="6" t="s">
        <v>63</v>
      </c>
      <c r="F49" s="31">
        <v>0</v>
      </c>
      <c r="G49" s="32">
        <v>0</v>
      </c>
      <c r="H49" s="32">
        <v>0</v>
      </c>
      <c r="I49" s="32">
        <v>5099999.8399999971</v>
      </c>
      <c r="J49" s="32">
        <v>3400000.2400000039</v>
      </c>
      <c r="K49" s="32">
        <v>0</v>
      </c>
      <c r="L49" s="32">
        <v>0</v>
      </c>
      <c r="M49" s="33">
        <v>8500000.0800000019</v>
      </c>
    </row>
    <row r="50" spans="1:13" x14ac:dyDescent="0.2">
      <c r="A50" s="3"/>
      <c r="B50" s="3"/>
      <c r="C50" s="3"/>
      <c r="D50" s="1" t="s">
        <v>121</v>
      </c>
      <c r="E50" s="5"/>
      <c r="F50" s="28">
        <v>0</v>
      </c>
      <c r="G50" s="29">
        <v>702681.9</v>
      </c>
      <c r="H50" s="29">
        <v>2497317.9400000004</v>
      </c>
      <c r="I50" s="29">
        <v>7403846.0299999975</v>
      </c>
      <c r="J50" s="29">
        <v>3896154.1100000041</v>
      </c>
      <c r="K50" s="29">
        <v>0</v>
      </c>
      <c r="L50" s="29">
        <v>0</v>
      </c>
      <c r="M50" s="30">
        <v>14499999.980000002</v>
      </c>
    </row>
    <row r="51" spans="1:13" x14ac:dyDescent="0.2">
      <c r="A51" s="3"/>
      <c r="B51" s="3"/>
      <c r="C51" s="3"/>
      <c r="D51" s="1" t="s">
        <v>122</v>
      </c>
      <c r="E51" s="1" t="s">
        <v>122</v>
      </c>
      <c r="F51" s="28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30">
        <v>0</v>
      </c>
    </row>
    <row r="52" spans="1:13" x14ac:dyDescent="0.2">
      <c r="A52" s="3"/>
      <c r="B52" s="3"/>
      <c r="C52" s="3"/>
      <c r="D52" s="3"/>
      <c r="E52" s="6" t="s">
        <v>135</v>
      </c>
      <c r="F52" s="31">
        <v>0</v>
      </c>
      <c r="G52" s="32">
        <v>6095130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3">
        <v>6095130</v>
      </c>
    </row>
    <row r="53" spans="1:13" x14ac:dyDescent="0.2">
      <c r="A53" s="3"/>
      <c r="B53" s="3"/>
      <c r="C53" s="3"/>
      <c r="D53" s="3"/>
      <c r="E53" s="6" t="s">
        <v>66</v>
      </c>
      <c r="F53" s="31">
        <v>0</v>
      </c>
      <c r="G53" s="32">
        <v>0</v>
      </c>
      <c r="H53" s="32">
        <v>2863984.7599999965</v>
      </c>
      <c r="I53" s="32">
        <v>8636015.0999999959</v>
      </c>
      <c r="J53" s="32">
        <v>0</v>
      </c>
      <c r="K53" s="32">
        <v>0</v>
      </c>
      <c r="L53" s="32">
        <v>0</v>
      </c>
      <c r="M53" s="33">
        <v>11499999.859999992</v>
      </c>
    </row>
    <row r="54" spans="1:13" x14ac:dyDescent="0.2">
      <c r="A54" s="3"/>
      <c r="B54" s="3"/>
      <c r="C54" s="3"/>
      <c r="D54" s="3"/>
      <c r="E54" s="6" t="s">
        <v>67</v>
      </c>
      <c r="F54" s="31">
        <v>0</v>
      </c>
      <c r="G54" s="32">
        <v>9881174.0000000019</v>
      </c>
      <c r="H54" s="32">
        <v>30289822.159999959</v>
      </c>
      <c r="I54" s="32">
        <v>14829004.839999998</v>
      </c>
      <c r="J54" s="32">
        <v>0</v>
      </c>
      <c r="K54" s="32">
        <v>0</v>
      </c>
      <c r="L54" s="32">
        <v>0</v>
      </c>
      <c r="M54" s="33">
        <v>55000000.999999955</v>
      </c>
    </row>
    <row r="55" spans="1:13" x14ac:dyDescent="0.2">
      <c r="A55" s="3"/>
      <c r="B55" s="3"/>
      <c r="C55" s="3"/>
      <c r="D55" s="1" t="s">
        <v>123</v>
      </c>
      <c r="E55" s="5"/>
      <c r="F55" s="28">
        <v>0</v>
      </c>
      <c r="G55" s="29">
        <v>15976304.000000002</v>
      </c>
      <c r="H55" s="29">
        <v>33153806.919999957</v>
      </c>
      <c r="I55" s="29">
        <v>23465019.939999994</v>
      </c>
      <c r="J55" s="29">
        <v>0</v>
      </c>
      <c r="K55" s="29">
        <v>0</v>
      </c>
      <c r="L55" s="29">
        <v>0</v>
      </c>
      <c r="M55" s="30">
        <v>72595130.859999955</v>
      </c>
    </row>
    <row r="56" spans="1:13" x14ac:dyDescent="0.2">
      <c r="A56" s="3"/>
      <c r="B56" s="3"/>
      <c r="C56" s="1" t="s">
        <v>32</v>
      </c>
      <c r="D56" s="5"/>
      <c r="E56" s="5"/>
      <c r="F56" s="28">
        <v>0</v>
      </c>
      <c r="G56" s="29">
        <v>22192396.030000001</v>
      </c>
      <c r="H56" s="29">
        <v>39137714.979999959</v>
      </c>
      <c r="I56" s="29">
        <v>49768866.039999992</v>
      </c>
      <c r="J56" s="29">
        <v>22162820.709999993</v>
      </c>
      <c r="K56" s="29">
        <v>7499999.9499999983</v>
      </c>
      <c r="L56" s="29">
        <v>0</v>
      </c>
      <c r="M56" s="30">
        <v>140761797.70999992</v>
      </c>
    </row>
    <row r="57" spans="1:13" x14ac:dyDescent="0.2">
      <c r="A57" s="3"/>
      <c r="B57" s="3"/>
      <c r="C57" s="1" t="s">
        <v>16</v>
      </c>
      <c r="D57" s="1" t="s">
        <v>16</v>
      </c>
      <c r="E57" s="5"/>
      <c r="F57" s="28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30">
        <v>0</v>
      </c>
    </row>
    <row r="58" spans="1:13" x14ac:dyDescent="0.2">
      <c r="A58" s="3"/>
      <c r="B58" s="3"/>
      <c r="C58" s="3"/>
      <c r="D58" s="1" t="s">
        <v>124</v>
      </c>
      <c r="E58" s="1" t="s">
        <v>124</v>
      </c>
      <c r="F58" s="28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30">
        <v>0</v>
      </c>
    </row>
    <row r="59" spans="1:13" x14ac:dyDescent="0.2">
      <c r="A59" s="3"/>
      <c r="B59" s="3"/>
      <c r="C59" s="3"/>
      <c r="D59" s="3"/>
      <c r="E59" s="6" t="s">
        <v>69</v>
      </c>
      <c r="F59" s="31">
        <v>0</v>
      </c>
      <c r="G59" s="32">
        <v>1700000</v>
      </c>
      <c r="H59" s="32">
        <v>1700000</v>
      </c>
      <c r="I59" s="32">
        <v>1700000</v>
      </c>
      <c r="J59" s="32">
        <v>1700000</v>
      </c>
      <c r="K59" s="32">
        <v>1700000</v>
      </c>
      <c r="L59" s="32">
        <v>0</v>
      </c>
      <c r="M59" s="33">
        <f>SUM(G59:K59)</f>
        <v>8500000</v>
      </c>
    </row>
    <row r="60" spans="1:13" x14ac:dyDescent="0.2">
      <c r="A60" s="3"/>
      <c r="B60" s="3"/>
      <c r="C60" s="3"/>
      <c r="D60" s="3"/>
      <c r="E60" s="6" t="s">
        <v>70</v>
      </c>
      <c r="F60" s="31">
        <v>0</v>
      </c>
      <c r="G60" s="32">
        <v>100000</v>
      </c>
      <c r="H60" s="32">
        <v>100000</v>
      </c>
      <c r="I60" s="32">
        <v>100000</v>
      </c>
      <c r="J60" s="32">
        <v>100000</v>
      </c>
      <c r="K60" s="32">
        <v>100000</v>
      </c>
      <c r="L60" s="32">
        <v>0</v>
      </c>
      <c r="M60" s="33">
        <f>SUM(F60:L60)</f>
        <v>500000</v>
      </c>
    </row>
    <row r="61" spans="1:13" x14ac:dyDescent="0.2">
      <c r="A61" s="3"/>
      <c r="B61" s="3"/>
      <c r="C61" s="3"/>
      <c r="D61" s="1" t="s">
        <v>125</v>
      </c>
      <c r="E61" s="5"/>
      <c r="F61" s="28">
        <v>0</v>
      </c>
      <c r="G61" s="29">
        <f>SUM(G59:G60)</f>
        <v>1800000</v>
      </c>
      <c r="H61" s="29">
        <f t="shared" ref="H61:K61" si="0">SUM(H59:H60)</f>
        <v>1800000</v>
      </c>
      <c r="I61" s="29">
        <f t="shared" si="0"/>
        <v>1800000</v>
      </c>
      <c r="J61" s="29">
        <f t="shared" si="0"/>
        <v>1800000</v>
      </c>
      <c r="K61" s="29">
        <f t="shared" si="0"/>
        <v>1800000</v>
      </c>
      <c r="L61" s="29">
        <v>0</v>
      </c>
      <c r="M61" s="30">
        <f>SUM(M59:M60)</f>
        <v>9000000</v>
      </c>
    </row>
    <row r="62" spans="1:13" x14ac:dyDescent="0.2">
      <c r="A62" s="3"/>
      <c r="B62" s="3"/>
      <c r="C62" s="3"/>
      <c r="D62" s="1" t="s">
        <v>126</v>
      </c>
      <c r="E62" s="1" t="s">
        <v>126</v>
      </c>
      <c r="F62" s="28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30">
        <v>0</v>
      </c>
    </row>
    <row r="63" spans="1:13" x14ac:dyDescent="0.2">
      <c r="A63" s="3"/>
      <c r="B63" s="3"/>
      <c r="C63" s="3"/>
      <c r="D63" s="3"/>
      <c r="E63" s="6" t="s">
        <v>72</v>
      </c>
      <c r="F63" s="31">
        <v>0</v>
      </c>
      <c r="G63" s="32">
        <v>0</v>
      </c>
      <c r="H63" s="32">
        <v>0</v>
      </c>
      <c r="I63" s="32">
        <v>30000.039999999997</v>
      </c>
      <c r="J63" s="32">
        <v>0</v>
      </c>
      <c r="K63" s="32">
        <v>0</v>
      </c>
      <c r="L63" s="32">
        <v>0</v>
      </c>
      <c r="M63" s="33">
        <v>30000.039999999997</v>
      </c>
    </row>
    <row r="64" spans="1:13" x14ac:dyDescent="0.2">
      <c r="A64" s="3"/>
      <c r="B64" s="3"/>
      <c r="C64" s="3"/>
      <c r="D64" s="3"/>
      <c r="E64" s="6" t="s">
        <v>73</v>
      </c>
      <c r="F64" s="31">
        <v>0</v>
      </c>
      <c r="G64" s="32">
        <v>0</v>
      </c>
      <c r="H64" s="32">
        <v>0</v>
      </c>
      <c r="I64" s="32">
        <v>0</v>
      </c>
      <c r="J64" s="32">
        <v>0</v>
      </c>
      <c r="K64" s="32">
        <v>70000.060000000012</v>
      </c>
      <c r="L64" s="32">
        <v>0</v>
      </c>
      <c r="M64" s="33">
        <v>70000.060000000012</v>
      </c>
    </row>
    <row r="65" spans="1:13" x14ac:dyDescent="0.2">
      <c r="A65" s="3"/>
      <c r="B65" s="3"/>
      <c r="C65" s="3"/>
      <c r="D65" s="1" t="s">
        <v>127</v>
      </c>
      <c r="E65" s="5"/>
      <c r="F65" s="28">
        <v>0</v>
      </c>
      <c r="G65" s="29">
        <v>0</v>
      </c>
      <c r="H65" s="29">
        <v>0</v>
      </c>
      <c r="I65" s="29">
        <v>30000.039999999997</v>
      </c>
      <c r="J65" s="29">
        <v>0</v>
      </c>
      <c r="K65" s="29">
        <v>70000.060000000012</v>
      </c>
      <c r="L65" s="29">
        <v>0</v>
      </c>
      <c r="M65" s="30">
        <v>100000.1</v>
      </c>
    </row>
    <row r="66" spans="1:13" x14ac:dyDescent="0.2">
      <c r="A66" s="3"/>
      <c r="B66" s="3"/>
      <c r="C66" s="3"/>
      <c r="D66" s="1" t="s">
        <v>128</v>
      </c>
      <c r="E66" s="1" t="s">
        <v>128</v>
      </c>
      <c r="F66" s="28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0">
        <v>0</v>
      </c>
    </row>
    <row r="67" spans="1:13" x14ac:dyDescent="0.2">
      <c r="A67" s="3"/>
      <c r="B67" s="3"/>
      <c r="C67" s="3"/>
      <c r="D67" s="3"/>
      <c r="E67" s="6" t="s">
        <v>75</v>
      </c>
      <c r="F67" s="31">
        <v>0</v>
      </c>
      <c r="G67" s="32">
        <v>160000</v>
      </c>
      <c r="H67" s="32">
        <v>160000</v>
      </c>
      <c r="I67" s="32">
        <v>160000</v>
      </c>
      <c r="J67" s="32">
        <v>160000</v>
      </c>
      <c r="K67" s="32">
        <v>160000</v>
      </c>
      <c r="L67" s="32">
        <v>0</v>
      </c>
      <c r="M67" s="33">
        <f>SUM(G67:K67)</f>
        <v>800000</v>
      </c>
    </row>
    <row r="68" spans="1:13" x14ac:dyDescent="0.2">
      <c r="A68" s="3"/>
      <c r="B68" s="3"/>
      <c r="C68" s="3"/>
      <c r="D68" s="1" t="s">
        <v>129</v>
      </c>
      <c r="E68" s="5"/>
      <c r="F68" s="28">
        <v>0</v>
      </c>
      <c r="G68" s="29">
        <v>159999.79000000012</v>
      </c>
      <c r="H68" s="29">
        <v>159999.84000000005</v>
      </c>
      <c r="I68" s="29">
        <v>159999.84000000005</v>
      </c>
      <c r="J68" s="29">
        <v>159999.84000000005</v>
      </c>
      <c r="K68" s="29">
        <v>159999.7900000001</v>
      </c>
      <c r="L68" s="29">
        <v>0</v>
      </c>
      <c r="M68" s="30">
        <f>SUM(M67)</f>
        <v>800000</v>
      </c>
    </row>
    <row r="69" spans="1:13" x14ac:dyDescent="0.2">
      <c r="A69" s="3"/>
      <c r="B69" s="3"/>
      <c r="C69" s="1" t="s">
        <v>36</v>
      </c>
      <c r="D69" s="5"/>
      <c r="E69" s="5"/>
      <c r="F69" s="28">
        <v>0</v>
      </c>
      <c r="G69" s="29">
        <v>1959999.8600000015</v>
      </c>
      <c r="H69" s="29">
        <v>1960000.1200000022</v>
      </c>
      <c r="I69" s="29">
        <v>1840000.1500000018</v>
      </c>
      <c r="J69" s="29">
        <v>2110766.4000000022</v>
      </c>
      <c r="K69" s="29">
        <v>2029233.6400000015</v>
      </c>
      <c r="L69" s="29">
        <v>0</v>
      </c>
      <c r="M69" s="30">
        <v>9900000.1700000092</v>
      </c>
    </row>
    <row r="70" spans="1:13" x14ac:dyDescent="0.2">
      <c r="A70" s="3"/>
      <c r="B70" s="1" t="s">
        <v>17</v>
      </c>
      <c r="C70" s="5"/>
      <c r="D70" s="5"/>
      <c r="E70" s="5"/>
      <c r="F70" s="28">
        <v>0</v>
      </c>
      <c r="G70" s="29">
        <v>29988855.960000001</v>
      </c>
      <c r="H70" s="29">
        <v>48405354.659999959</v>
      </c>
      <c r="I70" s="29">
        <v>60626505.849999994</v>
      </c>
      <c r="J70" s="29">
        <v>29071226.729999993</v>
      </c>
      <c r="K70" s="29">
        <v>9908055.7700000014</v>
      </c>
      <c r="L70" s="29">
        <v>0</v>
      </c>
      <c r="M70" s="30">
        <v>177999998.96999994</v>
      </c>
    </row>
    <row r="71" spans="1:13" x14ac:dyDescent="0.2">
      <c r="A71" s="1" t="s">
        <v>136</v>
      </c>
      <c r="B71" s="5"/>
      <c r="C71" s="5"/>
      <c r="D71" s="5"/>
      <c r="E71" s="5"/>
      <c r="F71" s="28">
        <v>0</v>
      </c>
      <c r="G71" s="29">
        <v>29988855.960000001</v>
      </c>
      <c r="H71" s="29">
        <v>48405354.659999959</v>
      </c>
      <c r="I71" s="29">
        <v>60626505.849999994</v>
      </c>
      <c r="J71" s="29">
        <v>29071226.729999993</v>
      </c>
      <c r="K71" s="29">
        <v>9908055.7700000014</v>
      </c>
      <c r="L71" s="29">
        <v>0</v>
      </c>
      <c r="M71" s="30">
        <v>177999998.96999994</v>
      </c>
    </row>
    <row r="72" spans="1:13" x14ac:dyDescent="0.2">
      <c r="A72" s="4" t="s">
        <v>7</v>
      </c>
      <c r="B72" s="7"/>
      <c r="C72" s="7"/>
      <c r="D72" s="7"/>
      <c r="E72" s="7"/>
      <c r="F72" s="34">
        <v>0</v>
      </c>
      <c r="G72" s="35">
        <v>29988855.960000001</v>
      </c>
      <c r="H72" s="35">
        <v>48405354.659999959</v>
      </c>
      <c r="I72" s="35">
        <v>60626505.849999994</v>
      </c>
      <c r="J72" s="35">
        <v>29071226.729999993</v>
      </c>
      <c r="K72" s="35">
        <v>9908055.7700000014</v>
      </c>
      <c r="L72" s="35">
        <v>0</v>
      </c>
      <c r="M72" s="36">
        <v>177999998.96999994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EAC716FD60A03C40A6FD6A9DBBCCA80B" ma:contentTypeVersion="1569" ma:contentTypeDescription="The base project type from which other project content types inherit their information." ma:contentTypeScope="" ma:versionID="8b358467866d63739051f5237b0cedc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675be67f32961f469640bde45105905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BR-T1370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Key_x0020_Document xmlns="cdc7663a-08f0-4737-9e8c-148ce897a09c">false</Key_x0020_Document>
    <Division_x0020_or_x0020_Unit xmlns="cdc7663a-08f0-4737-9e8c-148ce897a09c">SCL/SPH</Division_x0020_or_x0020_Unit>
    <IDBDocs_x0020_Number xmlns="cdc7663a-08f0-4737-9e8c-148ce897a09c">39694997</IDBDocs_x0020_Number>
    <Document_x0020_Author xmlns="cdc7663a-08f0-4737-9e8c-148ce897a09c">Rocha, Marcia Gomes</Document_x0020_Author>
    <Operation_x0020_Type xmlns="cdc7663a-08f0-4737-9e8c-148ce897a09c" xsi:nil="true"/>
    <TaxCatchAll xmlns="cdc7663a-08f0-4737-9e8c-148ce897a09c">
      <Value>55</Value>
      <Value>130</Value>
      <Value>129</Value>
      <Value>9</Value>
      <Value>32</Value>
    </TaxCatchAll>
    <Fiscal_x0020_Year_x0020_IDB xmlns="cdc7663a-08f0-4737-9e8c-148ce897a09c">2018</Fiscal_x0020_Year_x0020_IDB>
    <Project_x0020_Number xmlns="cdc7663a-08f0-4737-9e8c-148ce897a09c">BR-L1408</Project_x0020_Number>
    <Package_x0020_Code xmlns="cdc7663a-08f0-4737-9e8c-148ce897a09c" xsi:nil="true"/>
    <Migration_x0020_Info xmlns="cdc7663a-08f0-4737-9e8c-148ce897a09c">MS EXCELLoan ProposalCGCommittee of the Whole0N</Migration_x0020_Info>
    <Approval_x0020_Number xmlns="cdc7663a-08f0-4737-9e8c-148ce897a09c">3703/OC-BR;</Approval_x0020_Number>
    <Business_x0020_Area xmlns="cdc7663a-08f0-4737-9e8c-148ce897a09c" xsi:nil="true"/>
    <SISCOR_x0020_Number xmlns="cdc7663a-08f0-4737-9e8c-148ce897a09c" xsi:nil="true"/>
    <Identifier xmlns="cdc7663a-08f0-4737-9e8c-148ce897a09c">Mario Naoshi Yano</Identifier>
    <Document_x0020_Language_x0020_IDB xmlns="cdc7663a-08f0-4737-9e8c-148ce897a09c">Portuguese</Document_x0020_Language_x0020_IDB>
    <Phase xmlns="cdc7663a-08f0-4737-9e8c-148ce897a09c" xsi:nil="true"/>
    <Other_x0020_Author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From_x003a_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AGRICULTURAL HEALTH AND FOOD SAFETY</TermName>
          <TermId xmlns="http://schemas.microsoft.com/office/infopath/2007/PartnerControls">bf6f8218-fe34-4f32-9b40-89f741b31fc6</TermId>
        </TermInfo>
      </Terms>
    </b2ec7cfb18674cb8803df6b262e8b107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Related_x0020_SisCor_x0020_Number xmlns="cdc7663a-08f0-4737-9e8c-148ce897a09c" xsi:nil="true"/>
    <To_x003a_ xmlns="cdc7663a-08f0-4737-9e8c-148ce897a09c" xsi:nil="true"/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AGRICULTURE AND RURAL DEVELOPMENT</TermName>
          <TermId xmlns="http://schemas.microsoft.com/office/infopath/2007/PartnerControls">d219a801-c2c3-4618-9f55-1bc987044feb</TermId>
        </TermInfo>
      </Terms>
    </nddeef1749674d76abdbe4b239a70bc6>
    <Record_x0020_Number xmlns="cdc7663a-08f0-4737-9e8c-148ce897a09c">R0002307756</Record_x0020_Number>
    <_dlc_DocId xmlns="cdc7663a-08f0-4737-9e8c-148ce897a09c">EZSHARE-1441240683-11</_dlc_DocId>
    <_dlc_DocIdUrl xmlns="cdc7663a-08f0-4737-9e8c-148ce897a09c">
      <Url>https://idbg.sharepoint.com/teams/EZ-BR-TCP/BR-T1370/_layouts/15/DocIdRedir.aspx?ID=EZSHARE-1441240683-11</Url>
      <Description>EZSHARE-1441240683-11</Description>
    </_dlc_DocIdUrl>
  </documentManagement>
</p:properti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80ECC3BE-86EB-4B68-B298-2E15150B5185}"/>
</file>

<file path=customXml/itemProps2.xml><?xml version="1.0" encoding="utf-8"?>
<ds:datastoreItem xmlns:ds="http://schemas.openxmlformats.org/officeDocument/2006/customXml" ds:itemID="{27383E8C-106D-44D5-816C-C2EE794512C9}"/>
</file>

<file path=customXml/itemProps3.xml><?xml version="1.0" encoding="utf-8"?>
<ds:datastoreItem xmlns:ds="http://schemas.openxmlformats.org/officeDocument/2006/customXml" ds:itemID="{2F02DA09-D4F2-451B-BC40-3687107199FB}"/>
</file>

<file path=customXml/itemProps4.xml><?xml version="1.0" encoding="utf-8"?>
<ds:datastoreItem xmlns:ds="http://schemas.openxmlformats.org/officeDocument/2006/customXml" ds:itemID="{5732ADA3-2229-4308-8713-82E08CFAAEA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197AAB2-9664-41C5-98C9-755A272F39D5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9c571b2f-e523-4ab2-ba2e-09e151a03ef4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E75F69B9-3495-47CF-AAAB-11CB1CC49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PEP</vt:lpstr>
      <vt:lpstr>AUXILIAR</vt:lpstr>
      <vt:lpstr>Plan1</vt:lpstr>
      <vt:lpstr>PEP!Print_Area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enlace requerido _2 PEP</dc:title>
  <dc:creator>Luiz Claudio Faria</dc:creator>
  <cp:keywords/>
  <cp:lastModifiedBy>User</cp:lastModifiedBy>
  <cp:lastPrinted>2018-05-29T17:33:36Z</cp:lastPrinted>
  <dcterms:created xsi:type="dcterms:W3CDTF">2006-06-01T00:00:46Z</dcterms:created>
  <dcterms:modified xsi:type="dcterms:W3CDTF">2018-06-04T19:05:30Z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12Template">
    <vt:bool>true</vt:bool>
  </property>
  <property fmtid="{D5CDD505-2E9C-101B-9397-08002B2CF9AE}" pid="3" name="P12ContainerType">
    <vt:lpwstr>TaskTP.cub</vt:lpwstr>
  </property>
  <property fmtid="{D5CDD505-2E9C-101B-9397-08002B2CF9AE}" pid="4" name="P12ProjectFields0">
    <vt:lpwstr>188744941,188743851,188744943,188744945,188744857,188744856,188744852,188744851,188744940,188744955,188744954,188743688,188744947,188744948,188744951,188743708,188743722,188743721,188743686,188743707,188743724,188744160,188743723,188743681,</vt:lpwstr>
  </property>
  <property fmtid="{D5CDD505-2E9C-101B-9397-08002B2CF9AE}" pid="5" name="P12ProjectFields1">
    <vt:lpwstr>188743698,188743773,188744117,188743709,188743710,188743718,188743717,188743716,188744119,188743726,188743701,188743720,188743719,188743700,188743712,188743713,188744799,188744050,188744049,188743705,188743711,188743715,188744118,188743725,188743780,</vt:lpwstr>
  </property>
  <property fmtid="{D5CDD505-2E9C-101B-9397-08002B2CF9AE}" pid="6" name="P12ProjectFields2">
    <vt:lpwstr>188743702,188744121,188743696,</vt:lpwstr>
  </property>
  <property fmtid="{D5CDD505-2E9C-101B-9397-08002B2CF9AE}" pid="7" name="P12PreviewPicture">
    <vt:lpwstr>ADR8</vt:lpwstr>
  </property>
  <property fmtid="{D5CDD505-2E9C-101B-9397-08002B2CF9AE}" pid="8" name="TaxKeyword">
    <vt:lpwstr/>
  </property>
  <property fmtid="{D5CDD505-2E9C-101B-9397-08002B2CF9AE}" pid="9" name="Sub_x002d_Sector">
    <vt:lpwstr/>
  </property>
  <property fmtid="{D5CDD505-2E9C-101B-9397-08002B2CF9AE}" pid="10" name="ContentTypeId">
    <vt:lpwstr>0x010100ACF722E9F6B0B149B0CD8BE2560A667200EAC716FD60A03C40A6FD6A9DBBCCA80B</vt:lpwstr>
  </property>
  <property fmtid="{D5CDD505-2E9C-101B-9397-08002B2CF9AE}" pid="11" name="TaxKeywordTaxHTField">
    <vt:lpwstr/>
  </property>
  <property fmtid="{D5CDD505-2E9C-101B-9397-08002B2CF9AE}" pid="12" name="Series Operations IDB">
    <vt:lpwstr>3;#Unclassified|a6dff32e-d477-44cd-a56b-85efe9e0a56c</vt:lpwstr>
  </property>
  <property fmtid="{D5CDD505-2E9C-101B-9397-08002B2CF9AE}" pid="13" name="Sub-Sector">
    <vt:lpwstr>130;#AGRICULTURAL HEALTH AND FOOD SAFETY|bf6f8218-fe34-4f32-9b40-89f741b31fc6</vt:lpwstr>
  </property>
  <property fmtid="{D5CDD505-2E9C-101B-9397-08002B2CF9AE}" pid="14" name="Country">
    <vt:lpwstr>32;#Brazil|7deb27ec-6837-4974-9aa8-6cfbac841ef8</vt:lpwstr>
  </property>
  <property fmtid="{D5CDD505-2E9C-101B-9397-08002B2CF9AE}" pid="15" name="Fund IDB">
    <vt:lpwstr>55;#TBD|d62f6e05-3e80-4abd-9bb4-5f10b4906ff6</vt:lpwstr>
  </property>
  <property fmtid="{D5CDD505-2E9C-101B-9397-08002B2CF9AE}" pid="16" name="Series_x0020_Operations_x0020_IDB">
    <vt:lpwstr>3;#Unclassified|a6dff32e-d477-44cd-a56b-85efe9e0a56c</vt:lpwstr>
  </property>
  <property fmtid="{D5CDD505-2E9C-101B-9397-08002B2CF9AE}" pid="17" name="To:">
    <vt:lpwstr/>
  </property>
  <property fmtid="{D5CDD505-2E9C-101B-9397-08002B2CF9AE}" pid="18" name="From:">
    <vt:lpwstr/>
  </property>
  <property fmtid="{D5CDD505-2E9C-101B-9397-08002B2CF9AE}" pid="19" name="Sector IDB">
    <vt:lpwstr>129;#AGRICULTURE AND RURAL DEVELOPMENT|d219a801-c2c3-4618-9f55-1bc987044feb</vt:lpwstr>
  </property>
  <property fmtid="{D5CDD505-2E9C-101B-9397-08002B2CF9AE}" pid="20" name="Function Operations IDB">
    <vt:lpwstr>9;#IDBDocs|cca77002-e150-4b2d-ab1f-1d7a7cdcae16</vt:lpwstr>
  </property>
  <property fmtid="{D5CDD505-2E9C-101B-9397-08002B2CF9AE}" pid="21" name="_dlc_DocIdItemGuid">
    <vt:lpwstr>1d19c06a-2a90-4272-b5ba-08bcbbaf6dde</vt:lpwstr>
  </property>
  <property fmtid="{D5CDD505-2E9C-101B-9397-08002B2CF9AE}" pid="22" name="Disclosed">
    <vt:bool>true</vt:bool>
  </property>
</Properties>
</file>