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45" windowWidth="11730" windowHeight="4380" tabRatio="646" firstSheet="2" activeTab="2"/>
  </bookViews>
  <sheets>
    <sheet name="POA (2)" sheetId="17" state="hidden" r:id="rId1"/>
    <sheet name="CRONOG DOLAR" sheetId="9" state="hidden" r:id="rId2"/>
    <sheet name="PA - Nº 01 - PSA IPOJUCA" sheetId="16" r:id="rId3"/>
    <sheet name="Crono Fisico" sheetId="4" state="hidden" r:id="rId4"/>
    <sheet name="Crono Financeiro" sheetId="3" state="hidden" r:id="rId5"/>
    <sheet name="Custo e Financ Anual " sheetId="11" state="hidden" r:id="rId6"/>
    <sheet name="Plan1" sheetId="13" state="hidden" r:id="rId7"/>
    <sheet name="Plan3" sheetId="2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201" localSheetId="0">#REF!</definedName>
    <definedName name="_1201">#REF!</definedName>
    <definedName name="_Fill" localSheetId="0" hidden="1">#REF!</definedName>
    <definedName name="_Fill" hidden="1">#REF!</definedName>
    <definedName name="_xlnm._FilterDatabase" localSheetId="2" hidden="1">'PA - Nº 01 - PSA IPOJUCA'!$B$10:$M$66</definedName>
    <definedName name="aa" localSheetId="0">#REF!</definedName>
    <definedName name="aa">#REF!</definedName>
    <definedName name="AÇO" localSheetId="5">'[1]Conc 20'!#REF!</definedName>
    <definedName name="AÇO" localSheetId="0">'[1]Conc 20'!#REF!</definedName>
    <definedName name="AÇO">'[1]Conc 20'!#REF!</definedName>
    <definedName name="Área_impressão_IM" localSheetId="0">#REF!</definedName>
    <definedName name="Área_impressão_IM">#REF!</definedName>
    <definedName name="BDI" localSheetId="0">#REF!</definedName>
    <definedName name="BDI">#REF!</definedName>
    <definedName name="CUADRO_2" localSheetId="5">'[2]PAPE-98'!#REF!</definedName>
    <definedName name="CUADRO_2" localSheetId="0">'[3]PAPE-98'!#REF!</definedName>
    <definedName name="CUADRO_2">'[2]PAPE-98'!#REF!</definedName>
    <definedName name="_xlnm.Database" localSheetId="0">#REF!</definedName>
    <definedName name="_xlnm.Database">#REF!</definedName>
    <definedName name="DDADOS_VOL5_0" localSheetId="0">#REF!</definedName>
    <definedName name="DDADOS_VOL5_0">#REF!</definedName>
    <definedName name="DES" localSheetId="0">#REF!</definedName>
    <definedName name="DES">#REF!</definedName>
    <definedName name="Detalhes_do_Demonstrativo_MDE" localSheetId="5">'[4]Anexo X - ENSINO'!#REF!</definedName>
    <definedName name="Detalhes_do_Demonstrativo_MDE" localSheetId="0">'[4]Anexo X - ENSINO'!#REF!</definedName>
    <definedName name="Detalhes_do_Demonstrativo_MDE">'[4]Anexo X - ENSINO'!#REF!</definedName>
    <definedName name="Ganhos_e_perdas_de_receita" localSheetId="0">#REF!</definedName>
    <definedName name="Ganhos_e_perdas_de_receita">#REF!</definedName>
    <definedName name="Ganhos_e_Perdas_de_Receita_99" localSheetId="0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nf">'[5]Orçamento Global'!$D$38</definedName>
    <definedName name="MOE" localSheetId="0">#REF!</definedName>
    <definedName name="MOE">#REF!</definedName>
    <definedName name="MOH" localSheetId="0">#REF!</definedName>
    <definedName name="MOH">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5">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_xlnm.Print_Area" localSheetId="4">'Crono Financeiro'!$A$4:$P$55</definedName>
    <definedName name="_xlnm.Print_Area" localSheetId="3">'Crono Fisico'!$A$1:$G$55</definedName>
    <definedName name="_xlnm.Print_Area" localSheetId="1">'CRONOG DOLAR'!$A$1:$G$55</definedName>
    <definedName name="_xlnm.Print_Area" localSheetId="5">'Custo e Financ Anual '!$A$1:$AB$21</definedName>
    <definedName name="_xlnm.Print_Area" localSheetId="2">'PA - Nº 01 - PSA IPOJUCA'!$B$1:$M$82</definedName>
    <definedName name="_xlnm.Print_Area" localSheetId="0">'POA (2)'!$E$1:$O$67</definedName>
    <definedName name="_xlnm.Print_Titles" localSheetId="2">'PA - Nº 01 - PSA IPOJUCA'!$1:$10</definedName>
    <definedName name="_xlnm.Print_Titles" localSheetId="0">'POA (2)'!$2:$11</definedName>
    <definedName name="Tabela_1___Déficit_da_Previdência_Social__RGPS" localSheetId="0">#REF!</definedName>
    <definedName name="Tabela_1___Déficit_da_Previdência_Social__RGPS">#REF!</definedName>
    <definedName name="Tabela_10___Resultado_Primário_do_Governo_Central_em_1999" localSheetId="0">#REF!</definedName>
    <definedName name="Tabela_10___Resultado_Primário_do_Governo_Central_em_1999">#REF!</definedName>
    <definedName name="Tabela_2___Contribuições_Previdenciárias" localSheetId="0">#REF!</definedName>
    <definedName name="Tabela_2___Contribuições_Previdenciárias">#REF!</definedName>
    <definedName name="Tabela_3___Benefícios__previsto_x_realizado" localSheetId="0">#REF!</definedName>
    <definedName name="Tabela_3___Benefícios__previsto_x_realizado">#REF!</definedName>
    <definedName name="Tabela_4___Receitas_Administradas_pela_SRF__previsto_x_realizado" localSheetId="0">#REF!</definedName>
    <definedName name="Tabela_4___Receitas_Administradas_pela_SRF__previsto_x_realizado">#REF!</definedName>
    <definedName name="Tabela_5___Receitas_Administradas_em_Agosto" localSheetId="0">#REF!</definedName>
    <definedName name="Tabela_5___Receitas_Administradas_em_Agosto">#REF!</definedName>
    <definedName name="Tabela_6___Receitas_Diretamente_Arrecadadas" localSheetId="0">#REF!</definedName>
    <definedName name="Tabela_6___Receitas_Diretamente_Arrecadadas">#REF!</definedName>
    <definedName name="Tabela_7___Déficit_da_Previdência_Social_em_1999" localSheetId="0">#REF!</definedName>
    <definedName name="Tabela_7___Déficit_da_Previdência_Social_em_1999">#REF!</definedName>
    <definedName name="Tabela_8___Receitas_Administradas__revisão_da_previsão" localSheetId="0">#REF!</definedName>
    <definedName name="Tabela_8___Receitas_Administradas__revisão_da_previsão">#REF!</definedName>
    <definedName name="Tabela_9___Resultado_Primário_de_1999" localSheetId="0">#REF!</definedName>
    <definedName name="Tabela_9___Resultado_Primário_de_1999">#REF!</definedName>
    <definedName name="total" localSheetId="4">'[6]Orçamento sem preço'!#REF!</definedName>
    <definedName name="total" localSheetId="3">'[6]Orçamento sem preço'!#REF!</definedName>
    <definedName name="total" localSheetId="1">'[6]Orçamento sem preço'!#REF!</definedName>
    <definedName name="total" localSheetId="5">'[6]Orçamento sem preço'!#REF!</definedName>
    <definedName name="total" localSheetId="0">'[6]Orçamento sem preço'!#REF!</definedName>
    <definedName name="total">'[6]Orçamento sem preço'!#REF!</definedName>
  </definedNames>
  <calcPr calcId="145621"/>
</workbook>
</file>

<file path=xl/calcChain.xml><?xml version="1.0" encoding="utf-8"?>
<calcChain xmlns="http://schemas.openxmlformats.org/spreadsheetml/2006/main">
  <c r="E61" i="25" l="1"/>
  <c r="E52" i="25"/>
  <c r="E37" i="25"/>
  <c r="E28" i="25"/>
  <c r="E40" i="25" s="1"/>
  <c r="E22" i="25"/>
  <c r="E61" i="16"/>
  <c r="E52" i="16"/>
  <c r="E65" i="25" l="1"/>
  <c r="E28" i="16"/>
  <c r="E22" i="16"/>
  <c r="E37" i="16" l="1"/>
  <c r="E40" i="16" s="1"/>
  <c r="E65" i="16" s="1"/>
  <c r="I13" i="3" l="1"/>
  <c r="N68" i="17" l="1"/>
  <c r="O58" i="17"/>
  <c r="O53" i="17"/>
  <c r="N53" i="17" s="1"/>
  <c r="I53" i="17"/>
  <c r="I58" i="17" s="1"/>
  <c r="O50" i="17"/>
  <c r="N50" i="17" s="1"/>
  <c r="O48" i="17"/>
  <c r="I48" i="17"/>
  <c r="O47" i="17"/>
  <c r="N47" i="17" s="1"/>
  <c r="M57" i="17"/>
  <c r="L57" i="17"/>
  <c r="K57" i="17"/>
  <c r="J57" i="17"/>
  <c r="O43" i="17"/>
  <c r="N43" i="17" s="1"/>
  <c r="O42" i="17"/>
  <c r="N42" i="17" s="1"/>
  <c r="I42" i="17"/>
  <c r="I43" i="17" s="1"/>
  <c r="O41" i="17"/>
  <c r="N41" i="17" s="1"/>
  <c r="I41" i="17"/>
  <c r="H41" i="17"/>
  <c r="O40" i="17"/>
  <c r="N40" i="17" s="1"/>
  <c r="O39" i="17"/>
  <c r="N39" i="17" s="1"/>
  <c r="O38" i="17"/>
  <c r="N38" i="17" s="1"/>
  <c r="I38" i="17"/>
  <c r="O35" i="17"/>
  <c r="N35" i="17" s="1"/>
  <c r="I35" i="17"/>
  <c r="O34" i="17"/>
  <c r="N34" i="17" s="1"/>
  <c r="H34" i="17"/>
  <c r="I39" i="17" s="1"/>
  <c r="G34" i="17"/>
  <c r="G41" i="17" s="1"/>
  <c r="G42" i="17" s="1"/>
  <c r="G43" i="17" s="1"/>
  <c r="G47" i="17" s="1"/>
  <c r="G48" i="17" s="1"/>
  <c r="G50" i="17" s="1"/>
  <c r="G53" i="17" s="1"/>
  <c r="O33" i="17"/>
  <c r="N33" i="17" s="1"/>
  <c r="G33" i="17"/>
  <c r="H47" i="17" s="1"/>
  <c r="H53" i="17" s="1"/>
  <c r="H58" i="17" s="1"/>
  <c r="M32" i="17"/>
  <c r="L32" i="17"/>
  <c r="K32" i="17"/>
  <c r="J32" i="17"/>
  <c r="O28" i="17"/>
  <c r="N28" i="17" s="1"/>
  <c r="O27" i="17"/>
  <c r="N27" i="17" s="1"/>
  <c r="O25" i="17"/>
  <c r="N25" i="17" s="1"/>
  <c r="O22" i="17"/>
  <c r="N22" i="17" s="1"/>
  <c r="O20" i="17"/>
  <c r="M19" i="17"/>
  <c r="L19" i="17"/>
  <c r="K19" i="17"/>
  <c r="J19" i="17"/>
  <c r="M16" i="17"/>
  <c r="M13" i="17" s="1"/>
  <c r="L16" i="17"/>
  <c r="L13" i="17" s="1"/>
  <c r="I16" i="17"/>
  <c r="O15" i="17"/>
  <c r="N15" i="17" s="1"/>
  <c r="H15" i="17"/>
  <c r="G58" i="17" s="1"/>
  <c r="G15" i="17"/>
  <c r="G38" i="17" s="1"/>
  <c r="O14" i="17"/>
  <c r="N14" i="17" s="1"/>
  <c r="K13" i="17"/>
  <c r="J13" i="17"/>
  <c r="O16" i="17" l="1"/>
  <c r="N16" i="17" s="1"/>
  <c r="O19" i="17"/>
  <c r="L64" i="17"/>
  <c r="M64" i="17"/>
  <c r="N20" i="17"/>
  <c r="N19" i="17" s="1"/>
  <c r="N32" i="17"/>
  <c r="O13" i="17"/>
  <c r="N13" i="17" s="1"/>
  <c r="O57" i="17"/>
  <c r="K64" i="17"/>
  <c r="J64" i="17"/>
  <c r="N58" i="17"/>
  <c r="G39" i="17"/>
  <c r="H38" i="17"/>
  <c r="H35" i="17"/>
  <c r="H42" i="17" s="1"/>
  <c r="H43" i="17" s="1"/>
  <c r="O32" i="17"/>
  <c r="G35" i="17"/>
  <c r="N48" i="17"/>
  <c r="N57" i="17" s="1"/>
  <c r="AE42" i="17" s="1"/>
  <c r="AF42" i="17" s="1"/>
  <c r="N64" i="17" l="1"/>
  <c r="O12" i="17"/>
  <c r="O64" i="17" s="1"/>
  <c r="G40" i="17"/>
  <c r="H39" i="17"/>
  <c r="J1" i="3" l="1"/>
  <c r="M5" i="13"/>
  <c r="Q5" i="13"/>
  <c r="U5" i="13"/>
  <c r="Y5" i="13"/>
  <c r="AC5" i="13"/>
  <c r="AG5" i="13"/>
  <c r="H5" i="13"/>
  <c r="I5" i="13" s="1"/>
  <c r="D5" i="13"/>
  <c r="AH5" i="13" l="1"/>
  <c r="K43" i="9"/>
  <c r="L43" i="9"/>
  <c r="M43" i="9"/>
  <c r="N43" i="9"/>
  <c r="O43" i="9"/>
  <c r="P43" i="9"/>
  <c r="Q43" i="9"/>
  <c r="R43" i="9"/>
  <c r="M44" i="3" s="1"/>
  <c r="AF10" i="11"/>
  <c r="AF9" i="11"/>
  <c r="AF20" i="11"/>
  <c r="AG20" i="11"/>
  <c r="AH20" i="11"/>
  <c r="AF14" i="11"/>
  <c r="AF15" i="11"/>
  <c r="AF16" i="11"/>
  <c r="AF17" i="11"/>
  <c r="AG17" i="11"/>
  <c r="AH17" i="11"/>
  <c r="AF18" i="11"/>
  <c r="AF19" i="11"/>
  <c r="AF12" i="11"/>
  <c r="AE13" i="11"/>
  <c r="AE11" i="11" s="1"/>
  <c r="AE21" i="11" s="1"/>
  <c r="AB13" i="11"/>
  <c r="AB11" i="11" s="1"/>
  <c r="AB21" i="11" s="1"/>
  <c r="V21" i="11"/>
  <c r="Y21" i="11"/>
  <c r="I53" i="9"/>
  <c r="H53" i="9"/>
  <c r="I50" i="9"/>
  <c r="J50" i="9"/>
  <c r="M50" i="9"/>
  <c r="Q50" i="9"/>
  <c r="U50" i="9"/>
  <c r="Y50" i="9"/>
  <c r="AC50" i="9"/>
  <c r="H50" i="9"/>
  <c r="I39" i="9"/>
  <c r="H39" i="9"/>
  <c r="G19" i="11"/>
  <c r="G18" i="11" s="1"/>
  <c r="D19" i="11"/>
  <c r="B19" i="11"/>
  <c r="M18" i="11"/>
  <c r="L18" i="11"/>
  <c r="K18" i="11"/>
  <c r="J18" i="11"/>
  <c r="I18" i="11"/>
  <c r="H18" i="11"/>
  <c r="F18" i="11"/>
  <c r="E18" i="11"/>
  <c r="G16" i="11"/>
  <c r="D16" i="11"/>
  <c r="M15" i="11"/>
  <c r="L15" i="11"/>
  <c r="K15" i="11"/>
  <c r="J15" i="11"/>
  <c r="I15" i="11"/>
  <c r="H15" i="11"/>
  <c r="G15" i="11"/>
  <c r="F15" i="11"/>
  <c r="E15" i="11"/>
  <c r="D15" i="11" s="1"/>
  <c r="F12" i="11"/>
  <c r="D12" i="11"/>
  <c r="M11" i="11"/>
  <c r="L11" i="11"/>
  <c r="K11" i="11"/>
  <c r="J11" i="11"/>
  <c r="I11" i="11"/>
  <c r="H11" i="11"/>
  <c r="G11" i="11"/>
  <c r="B10" i="11"/>
  <c r="M9" i="11"/>
  <c r="L9" i="11"/>
  <c r="K9" i="11"/>
  <c r="J9" i="11"/>
  <c r="I9" i="11"/>
  <c r="H9" i="11"/>
  <c r="G9" i="11"/>
  <c r="R39" i="3"/>
  <c r="AF37" i="9"/>
  <c r="AC37" i="9" s="1"/>
  <c r="X13" i="9"/>
  <c r="Y13" i="9"/>
  <c r="Z13" i="9"/>
  <c r="AA13" i="9"/>
  <c r="AB13" i="9"/>
  <c r="AC13" i="9"/>
  <c r="AD13" i="9"/>
  <c r="AE13" i="9"/>
  <c r="P9" i="3"/>
  <c r="O9" i="3"/>
  <c r="N9" i="3"/>
  <c r="M9" i="3"/>
  <c r="L9" i="3"/>
  <c r="J9" i="3"/>
  <c r="J11" i="3"/>
  <c r="AE52" i="9"/>
  <c r="AA52" i="9"/>
  <c r="AA50" i="9" s="1"/>
  <c r="W52" i="9"/>
  <c r="W50" i="9" s="1"/>
  <c r="S52" i="9"/>
  <c r="S50" i="9" s="1"/>
  <c r="O52" i="9"/>
  <c r="L53" i="3" s="1"/>
  <c r="K52" i="9"/>
  <c r="K53" i="3" s="1"/>
  <c r="P44" i="3"/>
  <c r="P45" i="3"/>
  <c r="P48" i="3"/>
  <c r="P49" i="3"/>
  <c r="P50" i="3"/>
  <c r="O44" i="3"/>
  <c r="O45" i="3"/>
  <c r="O48" i="3"/>
  <c r="O49" i="3"/>
  <c r="O50" i="3"/>
  <c r="N44" i="3"/>
  <c r="N48" i="3"/>
  <c r="N49" i="3"/>
  <c r="N50" i="3"/>
  <c r="P28" i="3"/>
  <c r="P29" i="3"/>
  <c r="P30" i="3"/>
  <c r="P31" i="3"/>
  <c r="P32" i="3"/>
  <c r="P33" i="3"/>
  <c r="P34" i="3"/>
  <c r="P35" i="3"/>
  <c r="P36" i="3"/>
  <c r="P37" i="3"/>
  <c r="P27" i="3"/>
  <c r="O28" i="3"/>
  <c r="O29" i="3"/>
  <c r="O30" i="3"/>
  <c r="O31" i="3"/>
  <c r="O32" i="3"/>
  <c r="O33" i="3"/>
  <c r="O34" i="3"/>
  <c r="O35" i="3"/>
  <c r="O36" i="3"/>
  <c r="O37" i="3"/>
  <c r="N28" i="3"/>
  <c r="N29" i="3"/>
  <c r="N30" i="3"/>
  <c r="N31" i="3"/>
  <c r="N32" i="3"/>
  <c r="N33" i="3"/>
  <c r="N34" i="3"/>
  <c r="N35" i="3"/>
  <c r="N36" i="3"/>
  <c r="N37" i="3"/>
  <c r="M28" i="3"/>
  <c r="M29" i="3"/>
  <c r="M32" i="3"/>
  <c r="M33" i="3"/>
  <c r="M34" i="3"/>
  <c r="M35" i="3"/>
  <c r="M36" i="3"/>
  <c r="M37" i="3"/>
  <c r="P15" i="3"/>
  <c r="P16" i="3"/>
  <c r="P17" i="3"/>
  <c r="P18" i="3"/>
  <c r="P19" i="3"/>
  <c r="P20" i="3"/>
  <c r="P21" i="3"/>
  <c r="P22" i="3"/>
  <c r="P23" i="3"/>
  <c r="P24" i="3"/>
  <c r="P14" i="3"/>
  <c r="O15" i="3"/>
  <c r="O16" i="3"/>
  <c r="O17" i="3"/>
  <c r="O18" i="3"/>
  <c r="O19" i="3"/>
  <c r="O20" i="3"/>
  <c r="O21" i="3"/>
  <c r="O22" i="3"/>
  <c r="O23" i="3"/>
  <c r="O24" i="3"/>
  <c r="O14" i="3"/>
  <c r="N15" i="3"/>
  <c r="N16" i="3"/>
  <c r="N17" i="3"/>
  <c r="N18" i="3"/>
  <c r="N19" i="3"/>
  <c r="N20" i="3"/>
  <c r="N21" i="3"/>
  <c r="N22" i="3"/>
  <c r="N24" i="3"/>
  <c r="N14" i="3"/>
  <c r="M17" i="3"/>
  <c r="M19" i="3"/>
  <c r="M21" i="3"/>
  <c r="M22" i="3"/>
  <c r="M24" i="3"/>
  <c r="M14" i="3"/>
  <c r="K54" i="9"/>
  <c r="J54" i="9"/>
  <c r="AG54" i="4"/>
  <c r="M54" i="9"/>
  <c r="M53" i="9" s="1"/>
  <c r="N54" i="9"/>
  <c r="N53" i="9" s="1"/>
  <c r="O54" i="9"/>
  <c r="O53" i="9" s="1"/>
  <c r="P54" i="9"/>
  <c r="P53" i="9" s="1"/>
  <c r="Q54" i="9"/>
  <c r="Q53" i="9" s="1"/>
  <c r="R54" i="9"/>
  <c r="R53" i="9" s="1"/>
  <c r="S54" i="9"/>
  <c r="S53" i="9" s="1"/>
  <c r="T54" i="9"/>
  <c r="T53" i="9" s="1"/>
  <c r="U54" i="9"/>
  <c r="U53" i="9" s="1"/>
  <c r="V54" i="9"/>
  <c r="V53" i="9" s="1"/>
  <c r="W54" i="9"/>
  <c r="W53" i="9" s="1"/>
  <c r="X54" i="9"/>
  <c r="X53" i="9" s="1"/>
  <c r="Y54" i="9"/>
  <c r="Y53" i="9" s="1"/>
  <c r="Z54" i="9"/>
  <c r="Z53" i="9" s="1"/>
  <c r="AA54" i="9"/>
  <c r="AA53" i="9" s="1"/>
  <c r="AB54" i="9"/>
  <c r="AB53" i="9" s="1"/>
  <c r="AC54" i="9"/>
  <c r="AC53" i="9" s="1"/>
  <c r="AD54" i="9"/>
  <c r="AD53" i="9" s="1"/>
  <c r="AE54" i="9"/>
  <c r="AE53" i="9" s="1"/>
  <c r="L54" i="9"/>
  <c r="L32" i="3"/>
  <c r="L36" i="3"/>
  <c r="L37" i="3"/>
  <c r="L22" i="3"/>
  <c r="L14" i="3"/>
  <c r="K45" i="3"/>
  <c r="K48" i="3"/>
  <c r="K32" i="3"/>
  <c r="K38" i="3"/>
  <c r="K14" i="3"/>
  <c r="J55" i="3"/>
  <c r="J54" i="3" s="1"/>
  <c r="J53" i="3"/>
  <c r="J52" i="3"/>
  <c r="J42" i="3"/>
  <c r="J43" i="3"/>
  <c r="J44" i="3"/>
  <c r="J45" i="3"/>
  <c r="J46" i="3"/>
  <c r="J47" i="3"/>
  <c r="J48" i="3"/>
  <c r="J49" i="3"/>
  <c r="J50" i="3"/>
  <c r="J41" i="3"/>
  <c r="J30" i="3"/>
  <c r="J31" i="3"/>
  <c r="J35" i="3"/>
  <c r="J38" i="3"/>
  <c r="J39" i="3"/>
  <c r="J27" i="3"/>
  <c r="J15" i="3"/>
  <c r="J17" i="3"/>
  <c r="J18" i="3"/>
  <c r="J19" i="3"/>
  <c r="J20" i="3"/>
  <c r="J21" i="3"/>
  <c r="J22" i="3"/>
  <c r="J23" i="3"/>
  <c r="J24" i="3"/>
  <c r="AG53" i="4"/>
  <c r="AG55" i="4"/>
  <c r="AD51" i="9"/>
  <c r="P52" i="3" s="1"/>
  <c r="AB51" i="9"/>
  <c r="AB50" i="9" s="1"/>
  <c r="Z51" i="9"/>
  <c r="Z50" i="9" s="1"/>
  <c r="X51" i="9"/>
  <c r="X50" i="9" s="1"/>
  <c r="V51" i="9"/>
  <c r="V50" i="9" s="1"/>
  <c r="T51" i="9"/>
  <c r="T50" i="9" s="1"/>
  <c r="R51" i="9"/>
  <c r="R50" i="9" s="1"/>
  <c r="P51" i="9"/>
  <c r="P50" i="9" s="1"/>
  <c r="N51" i="9"/>
  <c r="N50" i="9" s="1"/>
  <c r="L51" i="9"/>
  <c r="K52" i="3" s="1"/>
  <c r="K46" i="9"/>
  <c r="J46" i="9"/>
  <c r="S49" i="9"/>
  <c r="R49" i="9"/>
  <c r="Q49" i="9"/>
  <c r="P49" i="9"/>
  <c r="O49" i="9"/>
  <c r="N49" i="9"/>
  <c r="M49" i="9"/>
  <c r="L49" i="9"/>
  <c r="S48" i="9"/>
  <c r="R48" i="9"/>
  <c r="Q48" i="9"/>
  <c r="P48" i="9"/>
  <c r="O48" i="9"/>
  <c r="N48" i="9"/>
  <c r="M48" i="9"/>
  <c r="L48" i="9"/>
  <c r="R47" i="9"/>
  <c r="M48" i="3" s="1"/>
  <c r="Q47" i="9"/>
  <c r="P47" i="9"/>
  <c r="O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V44" i="9"/>
  <c r="N45" i="3" s="1"/>
  <c r="U44" i="9"/>
  <c r="T44" i="9"/>
  <c r="S44" i="9"/>
  <c r="R44" i="9"/>
  <c r="Q44" i="9"/>
  <c r="P44" i="9"/>
  <c r="O44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K43" i="3" s="1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K39" i="3" s="1"/>
  <c r="AB37" i="9"/>
  <c r="T37" i="9"/>
  <c r="K36" i="9"/>
  <c r="J36" i="9"/>
  <c r="I36" i="9"/>
  <c r="H36" i="9"/>
  <c r="K35" i="9"/>
  <c r="J35" i="9"/>
  <c r="I35" i="9"/>
  <c r="H35" i="9"/>
  <c r="O34" i="9"/>
  <c r="N34" i="9"/>
  <c r="M34" i="9"/>
  <c r="L34" i="9"/>
  <c r="K34" i="9"/>
  <c r="J34" i="9"/>
  <c r="O33" i="9"/>
  <c r="N33" i="9"/>
  <c r="M33" i="9"/>
  <c r="L33" i="9"/>
  <c r="K33" i="9"/>
  <c r="J33" i="9"/>
  <c r="I33" i="9"/>
  <c r="H33" i="9"/>
  <c r="N32" i="9"/>
  <c r="M32" i="9"/>
  <c r="L32" i="9"/>
  <c r="K32" i="9"/>
  <c r="J32" i="9"/>
  <c r="I32" i="9"/>
  <c r="H32" i="9"/>
  <c r="I31" i="9"/>
  <c r="H31" i="9"/>
  <c r="S30" i="9"/>
  <c r="R30" i="9"/>
  <c r="Q30" i="9"/>
  <c r="P30" i="9"/>
  <c r="O30" i="9"/>
  <c r="N30" i="9"/>
  <c r="M30" i="9"/>
  <c r="L30" i="9"/>
  <c r="S29" i="9"/>
  <c r="R29" i="9"/>
  <c r="Q29" i="9"/>
  <c r="P29" i="9"/>
  <c r="O29" i="9"/>
  <c r="N29" i="9"/>
  <c r="M29" i="9"/>
  <c r="L29" i="9"/>
  <c r="N28" i="9"/>
  <c r="L29" i="3" s="1"/>
  <c r="M28" i="9"/>
  <c r="L28" i="9"/>
  <c r="K28" i="9"/>
  <c r="J28" i="9"/>
  <c r="I28" i="9"/>
  <c r="J29" i="3" s="1"/>
  <c r="N27" i="9"/>
  <c r="L28" i="3" s="1"/>
  <c r="M27" i="9"/>
  <c r="L27" i="9"/>
  <c r="K27" i="9"/>
  <c r="J27" i="9"/>
  <c r="I27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P24" i="9"/>
  <c r="O24" i="9"/>
  <c r="N24" i="9"/>
  <c r="M24" i="9"/>
  <c r="L24" i="9"/>
  <c r="W23" i="9"/>
  <c r="W13" i="9" s="1"/>
  <c r="V23" i="9"/>
  <c r="V13" i="9" s="1"/>
  <c r="U23" i="9"/>
  <c r="U13" i="9" s="1"/>
  <c r="T23" i="9"/>
  <c r="T13" i="9" s="1"/>
  <c r="S23" i="9"/>
  <c r="R23" i="9"/>
  <c r="Q23" i="9"/>
  <c r="P23" i="9"/>
  <c r="O23" i="9"/>
  <c r="N23" i="9"/>
  <c r="M23" i="9"/>
  <c r="L23" i="9"/>
  <c r="M22" i="9"/>
  <c r="L22" i="9"/>
  <c r="K22" i="9"/>
  <c r="N21" i="9"/>
  <c r="L21" i="3" s="1"/>
  <c r="M21" i="9"/>
  <c r="L21" i="9"/>
  <c r="K21" i="9"/>
  <c r="R20" i="9"/>
  <c r="M20" i="3" s="1"/>
  <c r="Q20" i="9"/>
  <c r="P20" i="9"/>
  <c r="O20" i="9"/>
  <c r="N20" i="9"/>
  <c r="M20" i="9"/>
  <c r="L20" i="9"/>
  <c r="P19" i="9"/>
  <c r="O19" i="9"/>
  <c r="N19" i="9"/>
  <c r="M19" i="9"/>
  <c r="L19" i="9"/>
  <c r="K19" i="9"/>
  <c r="S18" i="9"/>
  <c r="R18" i="9"/>
  <c r="Q18" i="9"/>
  <c r="P18" i="9"/>
  <c r="O18" i="9"/>
  <c r="N18" i="9"/>
  <c r="M18" i="9"/>
  <c r="L18" i="9"/>
  <c r="P17" i="9"/>
  <c r="O17" i="9"/>
  <c r="N17" i="9"/>
  <c r="M17" i="9"/>
  <c r="K17" i="3" s="1"/>
  <c r="H14" i="9"/>
  <c r="H13" i="9" s="1"/>
  <c r="AG55" i="9"/>
  <c r="M15" i="9"/>
  <c r="N15" i="9"/>
  <c r="O15" i="9"/>
  <c r="P15" i="9"/>
  <c r="Q15" i="9"/>
  <c r="R15" i="9"/>
  <c r="S15" i="9"/>
  <c r="S13" i="9" s="1"/>
  <c r="L15" i="9"/>
  <c r="J16" i="9"/>
  <c r="J13" i="9" s="1"/>
  <c r="K16" i="9"/>
  <c r="L16" i="9"/>
  <c r="M16" i="9"/>
  <c r="N16" i="9"/>
  <c r="O16" i="9"/>
  <c r="P16" i="9"/>
  <c r="Q16" i="9"/>
  <c r="R16" i="9"/>
  <c r="M16" i="3" s="1"/>
  <c r="I16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H10" i="9"/>
  <c r="K9" i="9"/>
  <c r="AF11" i="9"/>
  <c r="AE11" i="9" s="1"/>
  <c r="J9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I8" i="9"/>
  <c r="J8" i="3" s="1"/>
  <c r="AF53" i="9"/>
  <c r="AF50" i="9"/>
  <c r="AF39" i="9"/>
  <c r="AF13" i="9"/>
  <c r="D93" i="9"/>
  <c r="G90" i="9"/>
  <c r="E85" i="9"/>
  <c r="G25" i="9"/>
  <c r="AG44" i="4"/>
  <c r="AG43" i="4"/>
  <c r="AG41" i="4"/>
  <c r="AH41" i="4" s="1"/>
  <c r="AG42" i="4"/>
  <c r="AH42" i="4" s="1"/>
  <c r="AG45" i="4"/>
  <c r="AH45" i="4" s="1"/>
  <c r="AG46" i="4"/>
  <c r="AH46" i="4" s="1"/>
  <c r="AG47" i="4"/>
  <c r="AH47" i="4" s="1"/>
  <c r="AG48" i="4"/>
  <c r="AH48" i="4" s="1"/>
  <c r="AG40" i="4"/>
  <c r="AH40" i="4" s="1"/>
  <c r="H9" i="3"/>
  <c r="I26" i="3"/>
  <c r="E13" i="11" s="1"/>
  <c r="H28" i="3"/>
  <c r="I40" i="3"/>
  <c r="H42" i="3"/>
  <c r="H43" i="3"/>
  <c r="H44" i="3"/>
  <c r="H45" i="3"/>
  <c r="H46" i="3"/>
  <c r="H47" i="3"/>
  <c r="H48" i="3"/>
  <c r="H49" i="3"/>
  <c r="H50" i="3"/>
  <c r="H41" i="3"/>
  <c r="H55" i="3"/>
  <c r="H54" i="3" s="1"/>
  <c r="H53" i="3"/>
  <c r="H52" i="3"/>
  <c r="H29" i="3"/>
  <c r="H30" i="3"/>
  <c r="H31" i="3"/>
  <c r="H32" i="3"/>
  <c r="H33" i="3"/>
  <c r="H34" i="3"/>
  <c r="H35" i="3"/>
  <c r="H36" i="3"/>
  <c r="H37" i="3"/>
  <c r="H38" i="3"/>
  <c r="H39" i="3"/>
  <c r="G39" i="3" s="1"/>
  <c r="H15" i="3"/>
  <c r="H16" i="3"/>
  <c r="H17" i="3"/>
  <c r="H18" i="3"/>
  <c r="H19" i="3"/>
  <c r="H20" i="3"/>
  <c r="H21" i="3"/>
  <c r="H22" i="3"/>
  <c r="H23" i="3"/>
  <c r="H24" i="3"/>
  <c r="H14" i="3"/>
  <c r="H10" i="3"/>
  <c r="H11" i="3"/>
  <c r="H8" i="3"/>
  <c r="I54" i="3"/>
  <c r="I51" i="3"/>
  <c r="I7" i="3"/>
  <c r="I6" i="3" s="1"/>
  <c r="E10" i="11" s="1"/>
  <c r="G26" i="3"/>
  <c r="AG9" i="4"/>
  <c r="AH9" i="4" s="1"/>
  <c r="AG10" i="4"/>
  <c r="AH10" i="4" s="1"/>
  <c r="AG11" i="4"/>
  <c r="AH11" i="4" s="1"/>
  <c r="AG26" i="4"/>
  <c r="AH26" i="4" s="1"/>
  <c r="AG12" i="4"/>
  <c r="AH12" i="4" s="1"/>
  <c r="AG13" i="4"/>
  <c r="AH13" i="4" s="1"/>
  <c r="AG14" i="4"/>
  <c r="AH14" i="4" s="1"/>
  <c r="AG15" i="4"/>
  <c r="AH15" i="4" s="1"/>
  <c r="AG16" i="4"/>
  <c r="AH16" i="4" s="1"/>
  <c r="AG17" i="4"/>
  <c r="AH17" i="4" s="1"/>
  <c r="AG18" i="4"/>
  <c r="AH18" i="4" s="1"/>
  <c r="AG19" i="4"/>
  <c r="AH19" i="4" s="1"/>
  <c r="AG20" i="4"/>
  <c r="AH20" i="4" s="1"/>
  <c r="AG21" i="4"/>
  <c r="AH21" i="4" s="1"/>
  <c r="AG22" i="4"/>
  <c r="AH22" i="4" s="1"/>
  <c r="AG23" i="4"/>
  <c r="AH23" i="4" s="1"/>
  <c r="AG24" i="4"/>
  <c r="AH24" i="4" s="1"/>
  <c r="AG25" i="4"/>
  <c r="AH25" i="4" s="1"/>
  <c r="AG27" i="4"/>
  <c r="AH27" i="4" s="1"/>
  <c r="AG28" i="4"/>
  <c r="AH28" i="4" s="1"/>
  <c r="AG29" i="4"/>
  <c r="AH29" i="4" s="1"/>
  <c r="AG30" i="4"/>
  <c r="AH30" i="4" s="1"/>
  <c r="AG31" i="4"/>
  <c r="AH31" i="4" s="1"/>
  <c r="AG32" i="4"/>
  <c r="AH32" i="4" s="1"/>
  <c r="AG33" i="4"/>
  <c r="AH33" i="4" s="1"/>
  <c r="AG34" i="4"/>
  <c r="AH34" i="4" s="1"/>
  <c r="AG35" i="4"/>
  <c r="AH35" i="4" s="1"/>
  <c r="AG36" i="4"/>
  <c r="AH36" i="4" s="1"/>
  <c r="AG37" i="4"/>
  <c r="AH37" i="4" s="1"/>
  <c r="AG38" i="4"/>
  <c r="AH38" i="4" s="1"/>
  <c r="AG39" i="4"/>
  <c r="AH39" i="4" s="1"/>
  <c r="AG50" i="4"/>
  <c r="AH50" i="4" s="1"/>
  <c r="AG51" i="4"/>
  <c r="AH51" i="4" s="1"/>
  <c r="AG52" i="4"/>
  <c r="AH52" i="4" s="1"/>
  <c r="AG8" i="4"/>
  <c r="AH8" i="4" s="1"/>
  <c r="G25" i="4"/>
  <c r="E85" i="4"/>
  <c r="G90" i="4"/>
  <c r="D93" i="4"/>
  <c r="K53" i="9"/>
  <c r="N53" i="3"/>
  <c r="D18" i="11"/>
  <c r="AA11" i="9"/>
  <c r="S11" i="9"/>
  <c r="AD11" i="9"/>
  <c r="T11" i="9" l="1"/>
  <c r="V11" i="9"/>
  <c r="K11" i="9"/>
  <c r="K7" i="9" s="1"/>
  <c r="K6" i="9" s="1"/>
  <c r="U11" i="9"/>
  <c r="U7" i="9" s="1"/>
  <c r="U6" i="9" s="1"/>
  <c r="AC11" i="9"/>
  <c r="R11" i="9"/>
  <c r="O11" i="9"/>
  <c r="O7" i="9" s="1"/>
  <c r="O6" i="9" s="1"/>
  <c r="Y11" i="9"/>
  <c r="AB11" i="9"/>
  <c r="N11" i="9"/>
  <c r="Z11" i="9"/>
  <c r="Z7" i="9" s="1"/>
  <c r="Z6" i="9" s="1"/>
  <c r="M11" i="9"/>
  <c r="W11" i="9"/>
  <c r="H21" i="11"/>
  <c r="L21" i="11"/>
  <c r="J21" i="11"/>
  <c r="G21" i="11"/>
  <c r="H13" i="3"/>
  <c r="X37" i="9"/>
  <c r="X25" i="9" s="1"/>
  <c r="AC12" i="11"/>
  <c r="AD12" i="11" s="1"/>
  <c r="I21" i="11"/>
  <c r="J10" i="3"/>
  <c r="J7" i="3" s="1"/>
  <c r="J6" i="3" s="1"/>
  <c r="P39" i="3"/>
  <c r="X39" i="9"/>
  <c r="AA39" i="9"/>
  <c r="L44" i="3"/>
  <c r="AG27" i="9"/>
  <c r="AH27" i="9" s="1"/>
  <c r="K29" i="3"/>
  <c r="K31" i="3"/>
  <c r="J32" i="3"/>
  <c r="J58" i="9"/>
  <c r="Q39" i="9"/>
  <c r="L58" i="9"/>
  <c r="AG41" i="9"/>
  <c r="AH41" i="9" s="1"/>
  <c r="AG52" i="9"/>
  <c r="AH52" i="9" s="1"/>
  <c r="AE7" i="9"/>
  <c r="AE6" i="9" s="1"/>
  <c r="N10" i="3"/>
  <c r="AC25" i="9"/>
  <c r="AA7" i="9"/>
  <c r="AA6" i="9" s="1"/>
  <c r="N52" i="3"/>
  <c r="N51" i="3" s="1"/>
  <c r="AG9" i="9"/>
  <c r="AH9" i="9" s="1"/>
  <c r="J36" i="3"/>
  <c r="AG10" i="9"/>
  <c r="AH10" i="9" s="1"/>
  <c r="L18" i="3"/>
  <c r="AG22" i="9"/>
  <c r="AH22" i="9" s="1"/>
  <c r="M27" i="3"/>
  <c r="AG28" i="9"/>
  <c r="AH28" i="9" s="1"/>
  <c r="L50" i="9"/>
  <c r="M30" i="3"/>
  <c r="AG32" i="9"/>
  <c r="AH32" i="9" s="1"/>
  <c r="M58" i="9"/>
  <c r="O58" i="9"/>
  <c r="AG35" i="9"/>
  <c r="AH35" i="9" s="1"/>
  <c r="AD39" i="9"/>
  <c r="L46" i="3"/>
  <c r="AG49" i="9"/>
  <c r="AH49" i="9" s="1"/>
  <c r="Q19" i="11"/>
  <c r="R19" i="11" s="1"/>
  <c r="O50" i="9"/>
  <c r="N8" i="3"/>
  <c r="P10" i="3"/>
  <c r="K13" i="9"/>
  <c r="AG18" i="9"/>
  <c r="AH18" i="9" s="1"/>
  <c r="K19" i="3"/>
  <c r="P11" i="9"/>
  <c r="P7" i="9" s="1"/>
  <c r="P6" i="9" s="1"/>
  <c r="X11" i="9"/>
  <c r="J11" i="9"/>
  <c r="J7" i="9" s="1"/>
  <c r="J6" i="9" s="1"/>
  <c r="Q11" i="9"/>
  <c r="Q7" i="9" s="1"/>
  <c r="Q6" i="9" s="1"/>
  <c r="Y7" i="9"/>
  <c r="Y6" i="9" s="1"/>
  <c r="O55" i="3"/>
  <c r="O54" i="3" s="1"/>
  <c r="AG14" i="9"/>
  <c r="AH14" i="9" s="1"/>
  <c r="P8" i="3"/>
  <c r="M13" i="9"/>
  <c r="M18" i="3"/>
  <c r="K20" i="3"/>
  <c r="K21" i="3"/>
  <c r="K22" i="3"/>
  <c r="M23" i="3"/>
  <c r="K37" i="3"/>
  <c r="S37" i="9"/>
  <c r="S25" i="9" s="1"/>
  <c r="W37" i="9"/>
  <c r="W25" i="9" s="1"/>
  <c r="AA37" i="9"/>
  <c r="AA25" i="9" s="1"/>
  <c r="AE37" i="9"/>
  <c r="AE25" i="9" s="1"/>
  <c r="J39" i="9"/>
  <c r="N39" i="9"/>
  <c r="N41" i="3"/>
  <c r="P43" i="3"/>
  <c r="Z12" i="11"/>
  <c r="AA12" i="11" s="1"/>
  <c r="M21" i="11"/>
  <c r="K9" i="3"/>
  <c r="L55" i="3"/>
  <c r="L54" i="3" s="1"/>
  <c r="J14" i="3"/>
  <c r="R37" i="9"/>
  <c r="R25" i="9" s="1"/>
  <c r="V37" i="9"/>
  <c r="V25" i="9" s="1"/>
  <c r="Z37" i="9"/>
  <c r="Z25" i="9" s="1"/>
  <c r="AD37" i="9"/>
  <c r="AD25" i="9" s="1"/>
  <c r="O53" i="3"/>
  <c r="M15" i="3"/>
  <c r="AF25" i="9"/>
  <c r="AF12" i="9" s="1"/>
  <c r="AG23" i="9"/>
  <c r="AH23" i="9" s="1"/>
  <c r="AG29" i="9"/>
  <c r="AH29" i="9" s="1"/>
  <c r="Q37" i="9"/>
  <c r="L38" i="3" s="1"/>
  <c r="U37" i="9"/>
  <c r="U25" i="9" s="1"/>
  <c r="Y37" i="9"/>
  <c r="Y25" i="9" s="1"/>
  <c r="L39" i="3"/>
  <c r="O39" i="3"/>
  <c r="M42" i="3"/>
  <c r="V7" i="9"/>
  <c r="V6" i="9" s="1"/>
  <c r="O10" i="3"/>
  <c r="M10" i="3"/>
  <c r="M25" i="9"/>
  <c r="O25" i="9"/>
  <c r="K39" i="9"/>
  <c r="M39" i="9"/>
  <c r="U39" i="9"/>
  <c r="AE39" i="9"/>
  <c r="W15" i="11"/>
  <c r="W16" i="11" s="1"/>
  <c r="X16" i="11" s="1"/>
  <c r="AG24" i="9"/>
  <c r="AH24" i="9" s="1"/>
  <c r="L24" i="3"/>
  <c r="L25" i="9"/>
  <c r="L27" i="3"/>
  <c r="M31" i="3"/>
  <c r="AG31" i="9"/>
  <c r="AH31" i="9" s="1"/>
  <c r="J33" i="3"/>
  <c r="K33" i="3"/>
  <c r="N58" i="9"/>
  <c r="J34" i="3"/>
  <c r="K34" i="3"/>
  <c r="L34" i="3"/>
  <c r="L47" i="3"/>
  <c r="L49" i="3"/>
  <c r="M49" i="3"/>
  <c r="K50" i="3"/>
  <c r="K47" i="3"/>
  <c r="M52" i="3"/>
  <c r="T7" i="9"/>
  <c r="T6" i="9" s="1"/>
  <c r="M8" i="3"/>
  <c r="L8" i="3"/>
  <c r="L10" i="3"/>
  <c r="L16" i="3"/>
  <c r="J25" i="9"/>
  <c r="Z15" i="11"/>
  <c r="Z16" i="11" s="1"/>
  <c r="AA16" i="11" s="1"/>
  <c r="I7" i="9"/>
  <c r="I6" i="9" s="1"/>
  <c r="N7" i="9"/>
  <c r="N6" i="9" s="1"/>
  <c r="R7" i="9"/>
  <c r="R6" i="9" s="1"/>
  <c r="P11" i="3"/>
  <c r="N25" i="9"/>
  <c r="AG42" i="9"/>
  <c r="AH42" i="9" s="1"/>
  <c r="H25" i="9"/>
  <c r="H12" i="9" s="1"/>
  <c r="H7" i="9"/>
  <c r="H6" i="9" s="1"/>
  <c r="L15" i="3"/>
  <c r="L17" i="3"/>
  <c r="K18" i="3"/>
  <c r="AG19" i="9"/>
  <c r="AH19" i="9" s="1"/>
  <c r="K24" i="3"/>
  <c r="N27" i="3"/>
  <c r="O27" i="3"/>
  <c r="I25" i="9"/>
  <c r="AG30" i="9"/>
  <c r="AH30" i="9" s="1"/>
  <c r="I58" i="9"/>
  <c r="K58" i="9"/>
  <c r="K35" i="3"/>
  <c r="J37" i="3"/>
  <c r="AB25" i="9"/>
  <c r="W39" i="9"/>
  <c r="O41" i="3"/>
  <c r="AC39" i="9"/>
  <c r="P41" i="3"/>
  <c r="N42" i="3"/>
  <c r="Z39" i="9"/>
  <c r="P42" i="3"/>
  <c r="N43" i="3"/>
  <c r="O43" i="3"/>
  <c r="M45" i="3"/>
  <c r="M46" i="3"/>
  <c r="N46" i="3"/>
  <c r="P46" i="3"/>
  <c r="N47" i="3"/>
  <c r="O47" i="3"/>
  <c r="P47" i="3"/>
  <c r="AG47" i="9"/>
  <c r="AH47" i="9" s="1"/>
  <c r="L50" i="3"/>
  <c r="M50" i="3"/>
  <c r="AG46" i="9"/>
  <c r="AH46" i="9" s="1"/>
  <c r="T15" i="11"/>
  <c r="T16" i="11" s="1"/>
  <c r="U16" i="11" s="1"/>
  <c r="O39" i="9"/>
  <c r="AG43" i="9"/>
  <c r="AH43" i="9" s="1"/>
  <c r="K51" i="3"/>
  <c r="M53" i="3"/>
  <c r="AC18" i="11"/>
  <c r="AC19" i="11" s="1"/>
  <c r="AD19" i="11" s="1"/>
  <c r="T18" i="11"/>
  <c r="T19" i="11" s="1"/>
  <c r="U19" i="11" s="1"/>
  <c r="K8" i="3"/>
  <c r="O13" i="9"/>
  <c r="L19" i="3"/>
  <c r="N13" i="9"/>
  <c r="L20" i="3"/>
  <c r="L23" i="3"/>
  <c r="P25" i="9"/>
  <c r="M39" i="3"/>
  <c r="N39" i="3"/>
  <c r="AG38" i="9"/>
  <c r="AH38" i="9" s="1"/>
  <c r="L41" i="3"/>
  <c r="T39" i="9"/>
  <c r="M47" i="3"/>
  <c r="L48" i="3"/>
  <c r="J28" i="3"/>
  <c r="AG8" i="9"/>
  <c r="AH8" i="9" s="1"/>
  <c r="AG51" i="9"/>
  <c r="AH51" i="9" s="1"/>
  <c r="AG34" i="9"/>
  <c r="AH34" i="9" s="1"/>
  <c r="AG33" i="9"/>
  <c r="AH33" i="9" s="1"/>
  <c r="V39" i="9"/>
  <c r="AD7" i="9"/>
  <c r="AD6" i="9" s="1"/>
  <c r="AB7" i="9"/>
  <c r="AB6" i="9" s="1"/>
  <c r="M7" i="9"/>
  <c r="M6" i="9" s="1"/>
  <c r="S7" i="9"/>
  <c r="S6" i="9" s="1"/>
  <c r="AC7" i="9"/>
  <c r="AC6" i="9" s="1"/>
  <c r="L53" i="9"/>
  <c r="Q18" i="11" s="1"/>
  <c r="R18" i="11" s="1"/>
  <c r="AD50" i="9"/>
  <c r="O52" i="3"/>
  <c r="P39" i="9"/>
  <c r="K50" i="9"/>
  <c r="M55" i="3"/>
  <c r="M54" i="3" s="1"/>
  <c r="O8" i="3"/>
  <c r="K10" i="3"/>
  <c r="P13" i="9"/>
  <c r="R13" i="9"/>
  <c r="K23" i="3"/>
  <c r="N23" i="3"/>
  <c r="N13" i="3" s="1"/>
  <c r="K27" i="3"/>
  <c r="K28" i="3"/>
  <c r="L33" i="3"/>
  <c r="L35" i="3"/>
  <c r="K36" i="3"/>
  <c r="K42" i="3"/>
  <c r="L42" i="3"/>
  <c r="L43" i="3"/>
  <c r="M43" i="3"/>
  <c r="AG45" i="9"/>
  <c r="AH45" i="9" s="1"/>
  <c r="O46" i="3"/>
  <c r="L52" i="3"/>
  <c r="L51" i="3" s="1"/>
  <c r="P55" i="3"/>
  <c r="P54" i="3" s="1"/>
  <c r="W18" i="11"/>
  <c r="I13" i="9"/>
  <c r="J16" i="3"/>
  <c r="AG15" i="9"/>
  <c r="AH15" i="9" s="1"/>
  <c r="K15" i="3"/>
  <c r="L13" i="9"/>
  <c r="K30" i="3"/>
  <c r="AG20" i="9"/>
  <c r="AH20" i="9" s="1"/>
  <c r="L30" i="3"/>
  <c r="O11" i="3"/>
  <c r="Q13" i="9"/>
  <c r="AG26" i="9"/>
  <c r="AH26" i="9" s="1"/>
  <c r="AG16" i="9"/>
  <c r="AH16" i="9" s="1"/>
  <c r="W7" i="9"/>
  <c r="W6" i="9" s="1"/>
  <c r="W12" i="11"/>
  <c r="X12" i="11" s="1"/>
  <c r="AG40" i="9"/>
  <c r="AH40" i="9" s="1"/>
  <c r="K41" i="3"/>
  <c r="Z18" i="11"/>
  <c r="AG21" i="9"/>
  <c r="AH21" i="9" s="1"/>
  <c r="AG36" i="9"/>
  <c r="AH36" i="9" s="1"/>
  <c r="H58" i="9"/>
  <c r="K25" i="9"/>
  <c r="AG17" i="9"/>
  <c r="AH17" i="9" s="1"/>
  <c r="N55" i="3"/>
  <c r="N54" i="3" s="1"/>
  <c r="L11" i="9"/>
  <c r="AF7" i="9"/>
  <c r="AF6" i="9" s="1"/>
  <c r="T25" i="9"/>
  <c r="AG44" i="9"/>
  <c r="AH44" i="9" s="1"/>
  <c r="L45" i="3"/>
  <c r="P53" i="3"/>
  <c r="P51" i="3" s="1"/>
  <c r="AE50" i="9"/>
  <c r="K21" i="11"/>
  <c r="Y39" i="9"/>
  <c r="AB39" i="9"/>
  <c r="O42" i="3"/>
  <c r="K46" i="3"/>
  <c r="K16" i="3"/>
  <c r="L31" i="3"/>
  <c r="S39" i="9"/>
  <c r="M41" i="3"/>
  <c r="AG48" i="9"/>
  <c r="AH48" i="9" s="1"/>
  <c r="K49" i="3"/>
  <c r="N19" i="11"/>
  <c r="AG54" i="9"/>
  <c r="AH54" i="9" s="1"/>
  <c r="J53" i="9"/>
  <c r="K55" i="3"/>
  <c r="K54" i="3" s="1"/>
  <c r="L39" i="9"/>
  <c r="J51" i="3"/>
  <c r="O13" i="3"/>
  <c r="H51" i="3"/>
  <c r="H40" i="3"/>
  <c r="H7" i="3"/>
  <c r="H6" i="3" s="1"/>
  <c r="D13" i="11"/>
  <c r="E11" i="11"/>
  <c r="D11" i="11" s="1"/>
  <c r="F13" i="11"/>
  <c r="F11" i="11" s="1"/>
  <c r="H26" i="3"/>
  <c r="J40" i="3"/>
  <c r="P13" i="3"/>
  <c r="I12" i="3"/>
  <c r="I56" i="3" s="1"/>
  <c r="F10" i="11"/>
  <c r="F9" i="11" s="1"/>
  <c r="E9" i="11"/>
  <c r="D9" i="11" s="1"/>
  <c r="K44" i="3"/>
  <c r="R39" i="9"/>
  <c r="M11" i="3" l="1"/>
  <c r="N11" i="3"/>
  <c r="M13" i="3"/>
  <c r="K13" i="3"/>
  <c r="J13" i="3"/>
  <c r="L13" i="3"/>
  <c r="X12" i="9"/>
  <c r="Z14" i="11"/>
  <c r="AA14" i="11" s="1"/>
  <c r="U18" i="11"/>
  <c r="AE12" i="9"/>
  <c r="Q15" i="11"/>
  <c r="R15" i="11" s="1"/>
  <c r="W12" i="9"/>
  <c r="Z12" i="9"/>
  <c r="N7" i="3"/>
  <c r="N6" i="3" s="1"/>
  <c r="X15" i="11"/>
  <c r="M40" i="3"/>
  <c r="K11" i="3"/>
  <c r="K7" i="3" s="1"/>
  <c r="K6" i="3" s="1"/>
  <c r="Q13" i="11"/>
  <c r="N13" i="11"/>
  <c r="O51" i="3"/>
  <c r="Q16" i="11"/>
  <c r="R16" i="11" s="1"/>
  <c r="N12" i="9"/>
  <c r="AA15" i="11"/>
  <c r="O40" i="3"/>
  <c r="AC12" i="9"/>
  <c r="U12" i="9"/>
  <c r="P38" i="3"/>
  <c r="P26" i="3" s="1"/>
  <c r="L11" i="3"/>
  <c r="L7" i="3" s="1"/>
  <c r="L6" i="3" s="1"/>
  <c r="S13" i="11"/>
  <c r="S11" i="11" s="1"/>
  <c r="S21" i="11" s="1"/>
  <c r="P12" i="9"/>
  <c r="X7" i="9"/>
  <c r="Z10" i="11" s="1"/>
  <c r="AA10" i="11" s="1"/>
  <c r="U15" i="11"/>
  <c r="V12" i="9"/>
  <c r="P40" i="3"/>
  <c r="AC13" i="11"/>
  <c r="AD13" i="11" s="1"/>
  <c r="M7" i="3"/>
  <c r="M6" i="3" s="1"/>
  <c r="M51" i="3"/>
  <c r="Q12" i="11"/>
  <c r="R12" i="11" s="1"/>
  <c r="T9" i="11"/>
  <c r="U9" i="11" s="1"/>
  <c r="J12" i="9"/>
  <c r="P7" i="3"/>
  <c r="P6" i="3" s="1"/>
  <c r="K40" i="3"/>
  <c r="Q14" i="11"/>
  <c r="R14" i="11" s="1"/>
  <c r="AF55" i="9"/>
  <c r="AH55" i="9" s="1"/>
  <c r="AD12" i="9"/>
  <c r="AG37" i="9"/>
  <c r="AH37" i="9" s="1"/>
  <c r="N10" i="11"/>
  <c r="O10" i="11" s="1"/>
  <c r="M38" i="3"/>
  <c r="M26" i="3" s="1"/>
  <c r="N38" i="3"/>
  <c r="N26" i="3" s="1"/>
  <c r="N14" i="11"/>
  <c r="O14" i="11" s="1"/>
  <c r="Q25" i="9"/>
  <c r="Q12" i="9" s="1"/>
  <c r="O38" i="3"/>
  <c r="O26" i="3" s="1"/>
  <c r="O7" i="3"/>
  <c r="O6" i="3" s="1"/>
  <c r="M12" i="9"/>
  <c r="W10" i="11"/>
  <c r="X10" i="11" s="1"/>
  <c r="N40" i="3"/>
  <c r="K26" i="3"/>
  <c r="L40" i="3"/>
  <c r="Y12" i="9"/>
  <c r="AG53" i="9"/>
  <c r="AH53" i="9" s="1"/>
  <c r="S12" i="9"/>
  <c r="P13" i="11"/>
  <c r="P11" i="11" s="1"/>
  <c r="P21" i="11" s="1"/>
  <c r="AD18" i="11"/>
  <c r="N9" i="11"/>
  <c r="O9" i="11" s="1"/>
  <c r="T10" i="11"/>
  <c r="U10" i="11" s="1"/>
  <c r="J26" i="3"/>
  <c r="W14" i="11"/>
  <c r="X14" i="11" s="1"/>
  <c r="O12" i="9"/>
  <c r="N16" i="11"/>
  <c r="O16" i="11" s="1"/>
  <c r="N15" i="11"/>
  <c r="O15" i="11" s="1"/>
  <c r="W19" i="11"/>
  <c r="X19" i="11" s="1"/>
  <c r="X18" i="11"/>
  <c r="L26" i="3"/>
  <c r="L12" i="9"/>
  <c r="W13" i="11"/>
  <c r="X13" i="11" s="1"/>
  <c r="AG11" i="9"/>
  <c r="AH11" i="9" s="1"/>
  <c r="AC9" i="11"/>
  <c r="AD9" i="11" s="1"/>
  <c r="AC10" i="11"/>
  <c r="AD10" i="11" s="1"/>
  <c r="AC14" i="11"/>
  <c r="AD14" i="11" s="1"/>
  <c r="AB12" i="9"/>
  <c r="AG13" i="9"/>
  <c r="AH13" i="9" s="1"/>
  <c r="I12" i="9"/>
  <c r="N12" i="11"/>
  <c r="F21" i="11"/>
  <c r="T12" i="9"/>
  <c r="O19" i="11"/>
  <c r="AC15" i="11"/>
  <c r="AG50" i="9"/>
  <c r="AH50" i="9" s="1"/>
  <c r="Z19" i="11"/>
  <c r="AA19" i="11" s="1"/>
  <c r="AA18" i="11"/>
  <c r="N18" i="11"/>
  <c r="L7" i="9"/>
  <c r="K12" i="9"/>
  <c r="W9" i="11"/>
  <c r="T12" i="11"/>
  <c r="U12" i="11" s="1"/>
  <c r="AA12" i="9"/>
  <c r="Z13" i="11"/>
  <c r="AA13" i="11" s="1"/>
  <c r="H12" i="3"/>
  <c r="H56" i="3" s="1"/>
  <c r="E21" i="11"/>
  <c r="R12" i="9"/>
  <c r="T14" i="11"/>
  <c r="U14" i="11" s="1"/>
  <c r="AG39" i="9"/>
  <c r="AH39" i="9" s="1"/>
  <c r="Z11" i="11" l="1"/>
  <c r="AA11" i="11" s="1"/>
  <c r="AF13" i="11"/>
  <c r="AF11" i="11" s="1"/>
  <c r="AF21" i="11" s="1"/>
  <c r="Q11" i="11"/>
  <c r="R11" i="11" s="1"/>
  <c r="J12" i="3"/>
  <c r="J56" i="3" s="1"/>
  <c r="O13" i="11"/>
  <c r="W11" i="11"/>
  <c r="X11" i="11" s="1"/>
  <c r="L12" i="3"/>
  <c r="L56" i="3" s="1"/>
  <c r="O12" i="3"/>
  <c r="O56" i="3" s="1"/>
  <c r="K12" i="3"/>
  <c r="K56" i="3" s="1"/>
  <c r="R13" i="11"/>
  <c r="P12" i="3"/>
  <c r="P56" i="3" s="1"/>
  <c r="M12" i="3"/>
  <c r="M56" i="3" s="1"/>
  <c r="X6" i="9"/>
  <c r="Z9" i="11" s="1"/>
  <c r="AA9" i="11" s="1"/>
  <c r="N12" i="3"/>
  <c r="N56" i="3" s="1"/>
  <c r="AD11" i="11"/>
  <c r="AG25" i="9"/>
  <c r="AH25" i="9" s="1"/>
  <c r="T13" i="11"/>
  <c r="U13" i="11" s="1"/>
  <c r="AC11" i="11"/>
  <c r="AC21" i="11" s="1"/>
  <c r="AD15" i="11"/>
  <c r="AG15" i="11" s="1"/>
  <c r="AC16" i="11"/>
  <c r="AH15" i="11"/>
  <c r="Q10" i="11"/>
  <c r="L6" i="9"/>
  <c r="Q9" i="11" s="1"/>
  <c r="AG19" i="11"/>
  <c r="N11" i="11"/>
  <c r="N21" i="11" s="1"/>
  <c r="AG14" i="11"/>
  <c r="O18" i="11"/>
  <c r="AG18" i="11" s="1"/>
  <c r="AH18" i="11"/>
  <c r="AH19" i="11"/>
  <c r="X9" i="11"/>
  <c r="O12" i="11"/>
  <c r="AH12" i="11"/>
  <c r="AH14" i="11"/>
  <c r="T11" i="11"/>
  <c r="AG12" i="9"/>
  <c r="AH12" i="9" s="1"/>
  <c r="W21" i="11" l="1"/>
  <c r="AG13" i="11"/>
  <c r="X21" i="11"/>
  <c r="AA21" i="11"/>
  <c r="Z21" i="11"/>
  <c r="Q56" i="3"/>
  <c r="AD21" i="11"/>
  <c r="AH13" i="11"/>
  <c r="AH11" i="11" s="1"/>
  <c r="AG12" i="11"/>
  <c r="O11" i="11"/>
  <c r="O21" i="11" s="1"/>
  <c r="R9" i="11"/>
  <c r="Q21" i="11"/>
  <c r="AH9" i="11"/>
  <c r="R10" i="11"/>
  <c r="AG10" i="11" s="1"/>
  <c r="AH10" i="11"/>
  <c r="AD16" i="11"/>
  <c r="AG16" i="11" s="1"/>
  <c r="AH16" i="11"/>
  <c r="U11" i="11"/>
  <c r="U21" i="11" s="1"/>
  <c r="T21" i="11"/>
  <c r="AG11" i="11" l="1"/>
  <c r="AH21" i="11"/>
  <c r="R21" i="11"/>
  <c r="AG9" i="11"/>
  <c r="AG21" i="11" l="1"/>
</calcChain>
</file>

<file path=xl/comments1.xml><?xml version="1.0" encoding="utf-8"?>
<comments xmlns="http://schemas.openxmlformats.org/spreadsheetml/2006/main">
  <authors>
    <author>mussilvana</author>
  </authors>
  <commentList>
    <comment ref="D15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Ver com Nilce Helena
Havia R$50 mil</t>
        </r>
      </text>
    </comment>
    <comment ref="D20" authorId="0">
      <text>
        <r>
          <rPr>
            <b/>
            <sz val="11"/>
            <color indexed="81"/>
            <rFont val="Tahoma"/>
            <family val="2"/>
          </rPr>
          <t>Mussilvana:</t>
        </r>
        <r>
          <rPr>
            <sz val="11"/>
            <color indexed="81"/>
            <rFont val="Tahoma"/>
            <family val="2"/>
          </rPr>
          <t xml:space="preserve">
Despesas a serem apresentadas como Contrapartida. Contrato em andamento desde </t>
        </r>
        <r>
          <rPr>
            <b/>
            <sz val="11"/>
            <color indexed="81"/>
            <rFont val="Tahoma"/>
            <family val="2"/>
          </rPr>
          <t>01.02.2013</t>
        </r>
        <r>
          <rPr>
            <sz val="11"/>
            <color indexed="81"/>
            <rFont val="Tahoma"/>
            <family val="2"/>
          </rPr>
          <t xml:space="preserve">
Contrato em Execução.
</t>
        </r>
        <r>
          <rPr>
            <b/>
            <sz val="11"/>
            <color indexed="81"/>
            <rFont val="Tahoma"/>
            <family val="2"/>
          </rPr>
          <t>Gesto</t>
        </r>
        <r>
          <rPr>
            <sz val="11"/>
            <color indexed="81"/>
            <rFont val="Tahoma"/>
            <family val="2"/>
          </rPr>
          <t xml:space="preserve">r: Cleiton/GGP
</t>
        </r>
        <r>
          <rPr>
            <b/>
            <sz val="11"/>
            <color indexed="81"/>
            <rFont val="Tahoma"/>
            <family val="2"/>
          </rPr>
          <t>Valor R$</t>
        </r>
        <r>
          <rPr>
            <sz val="11"/>
            <color indexed="81"/>
            <rFont val="Tahoma"/>
            <family val="2"/>
          </rPr>
          <t xml:space="preserve"> 2.485.880,75
</t>
        </r>
        <r>
          <rPr>
            <b/>
            <sz val="11"/>
            <color indexed="81"/>
            <rFont val="Tahoma"/>
            <family val="2"/>
          </rPr>
          <t>Empresa contratada</t>
        </r>
        <r>
          <rPr>
            <sz val="11"/>
            <color indexed="81"/>
            <rFont val="Tahoma"/>
            <family val="2"/>
          </rPr>
          <t xml:space="preserve">: Consórcio AFIXCODE PATRIMONIO E AVALIACOES LTDA e
IBIAEON CONSULTORIA PATRIMONIAL AV ALIACOES E INFORMATICA LTDA - EPP
</t>
        </r>
        <r>
          <rPr>
            <b/>
            <sz val="11"/>
            <color indexed="81"/>
            <rFont val="Tahoma"/>
            <family val="2"/>
          </rPr>
          <t>Faturado até 30/07/2013</t>
        </r>
        <r>
          <rPr>
            <sz val="11"/>
            <color indexed="81"/>
            <rFont val="Tahoma"/>
            <family val="2"/>
          </rPr>
          <t xml:space="preserve"> - R$ 143.524,86
</t>
        </r>
        <r>
          <rPr>
            <b/>
            <sz val="11"/>
            <color indexed="81"/>
            <rFont val="Tahoma"/>
            <family val="2"/>
          </rPr>
          <t>Inicio OS:</t>
        </r>
        <r>
          <rPr>
            <sz val="11"/>
            <color indexed="81"/>
            <rFont val="Tahoma"/>
            <family val="2"/>
          </rPr>
          <t xml:space="preserve"> 01/02/2013
</t>
        </r>
        <r>
          <rPr>
            <b/>
            <sz val="11"/>
            <color indexed="81"/>
            <rFont val="Tahoma"/>
            <family val="2"/>
          </rPr>
          <t>Final:</t>
        </r>
        <r>
          <rPr>
            <sz val="11"/>
            <color indexed="81"/>
            <rFont val="Tahoma"/>
            <family val="2"/>
          </rPr>
          <t xml:space="preserve"> 25/07/2014
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Aguardando resposta de Anderson Quadros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Aguardando resposta de Marconi, por conta da REDIR do dia 19/08/2013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Aguardando confirmação de Nilce e Marconi.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Aguardando confirmação de Nilce e Marconi.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Aguardando confirmação de Nilce e Marconi.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Aguardando confirmação de Nilce e Marconi.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Aguardando confirmação de Nilce e Marconi.</t>
        </r>
      </text>
    </comment>
    <comment ref="D28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Aguardando confirmação de Nilce e Marconi.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Aguardando confirmação de Nilce e Marconi.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Aguardando confirmação de Nilce e Marconi.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Compesa vai emitir TR para contratar os projetos
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Aguardando confirmação de Nilce e Marconi.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Sidney vai verificar as Obras a serem apresentadas com recursos de Contrapartida
Verificar a execução/evolução dos contratos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Sidney vai verificar as Obras a serem apresentadas com recursos de Contrapartida
Verificar a execução/evolução dos contratos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Componentes APAC
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Componentes APAC
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Componentes APAC
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Componentes APAC
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Componentes APAC
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Componentes APAC
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Componentes APAC
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Componentes APAC
</t>
        </r>
      </text>
    </comment>
  </commentList>
</comments>
</file>

<file path=xl/comments2.xml><?xml version="1.0" encoding="utf-8"?>
<comments xmlns="http://schemas.openxmlformats.org/spreadsheetml/2006/main">
  <authors>
    <author>mussilvana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Publicação Manisfestação de interesse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Término do Contrato de Fornecedor/Consultor</t>
        </r>
      </text>
    </comment>
  </commentList>
</comments>
</file>

<file path=xl/comments3.xml><?xml version="1.0" encoding="utf-8"?>
<comments xmlns="http://schemas.openxmlformats.org/spreadsheetml/2006/main">
  <authors>
    <author>mussilvana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Publicação Manisfestação de interesse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>mussilvana:</t>
        </r>
        <r>
          <rPr>
            <sz val="9"/>
            <color indexed="81"/>
            <rFont val="Tahoma"/>
            <family val="2"/>
          </rPr>
          <t xml:space="preserve">
Término do Contrato de Fornecedor/Consultor</t>
        </r>
      </text>
    </comment>
  </commentList>
</comments>
</file>

<file path=xl/sharedStrings.xml><?xml version="1.0" encoding="utf-8"?>
<sst xmlns="http://schemas.openxmlformats.org/spreadsheetml/2006/main" count="1228" uniqueCount="395">
  <si>
    <t>POR CATEGORIA DE INVESTIMENTO E COMPONENTE</t>
  </si>
  <si>
    <t>\</t>
  </si>
  <si>
    <t>Valores en 1.000 US$</t>
  </si>
  <si>
    <t>1 US$ =</t>
  </si>
  <si>
    <t>Categorias de Investimento / Componentes</t>
  </si>
  <si>
    <t>Total (Mil US$)</t>
  </si>
  <si>
    <t xml:space="preserve">Em % </t>
  </si>
  <si>
    <t>Gastos Prévios a Reconhecer</t>
  </si>
  <si>
    <t>TOTAL</t>
  </si>
  <si>
    <t>BID</t>
  </si>
  <si>
    <t>Contra- partida Local</t>
  </si>
  <si>
    <t>CPL</t>
  </si>
  <si>
    <t>Total</t>
  </si>
  <si>
    <t>Engenharia e Administração</t>
  </si>
  <si>
    <t>1.1</t>
  </si>
  <si>
    <t>II</t>
  </si>
  <si>
    <t>Custos Diretos</t>
  </si>
  <si>
    <t>2.1</t>
  </si>
  <si>
    <t>2.2</t>
  </si>
  <si>
    <t>2.3</t>
  </si>
  <si>
    <t>III</t>
  </si>
  <si>
    <t>Custos Concorrentes</t>
  </si>
  <si>
    <t>3.1</t>
  </si>
  <si>
    <t>Auditoria, avaliação e monitoramento</t>
  </si>
  <si>
    <t>IV</t>
  </si>
  <si>
    <t>Sem Alocação Específica</t>
  </si>
  <si>
    <t>4.1</t>
  </si>
  <si>
    <t>V</t>
  </si>
  <si>
    <t>TOTAIS</t>
  </si>
  <si>
    <t>Categoria / Componente / Subcomponente / Projeto</t>
  </si>
  <si>
    <t>Unidade</t>
  </si>
  <si>
    <t>Quanti-dade</t>
  </si>
  <si>
    <t>Custo</t>
  </si>
  <si>
    <t xml:space="preserve">Custo </t>
  </si>
  <si>
    <t>Custo Anual (Mil US$)</t>
  </si>
  <si>
    <t>Unitário</t>
  </si>
  <si>
    <t>Total (R$)</t>
  </si>
  <si>
    <t>I</t>
  </si>
  <si>
    <t>Gerenciamento e Supervisão</t>
  </si>
  <si>
    <t>mês</t>
  </si>
  <si>
    <t>Consultorias de Apoio ao Gerenciamento</t>
  </si>
  <si>
    <t>-------</t>
  </si>
  <si>
    <t xml:space="preserve">Apoio à Supervisão de Obras </t>
  </si>
  <si>
    <t>familía</t>
  </si>
  <si>
    <t>imóvel</t>
  </si>
  <si>
    <t>gl</t>
  </si>
  <si>
    <t>-----</t>
  </si>
  <si>
    <t>Unid.</t>
  </si>
  <si>
    <t>2.2.</t>
  </si>
  <si>
    <t>com.</t>
  </si>
  <si>
    <t>Auditoria</t>
  </si>
  <si>
    <t>ano</t>
  </si>
  <si>
    <t>Avaliação e Monitoramento</t>
  </si>
  <si>
    <t>Contingências Físicas e Financeiras</t>
  </si>
  <si>
    <t>TOTAL PROGRAMA</t>
  </si>
  <si>
    <t>Total reassentamento</t>
  </si>
  <si>
    <t>Total indenizações</t>
  </si>
  <si>
    <t>Reassentamento</t>
  </si>
  <si>
    <t>Maresia</t>
  </si>
  <si>
    <t>Prate e Donga</t>
  </si>
  <si>
    <t>Indenizações</t>
  </si>
  <si>
    <t>Fortalecimiento Institucional de COMPESA</t>
  </si>
  <si>
    <t>PSA IPOJUCA  -  INVESTIMENTOS PREVISTOS</t>
  </si>
  <si>
    <t xml:space="preserve">Obras y Equipos </t>
  </si>
  <si>
    <t xml:space="preserve">Mejoría Sociambiental </t>
  </si>
  <si>
    <t xml:space="preserve">TRIMESTRES DO PROGRAMA </t>
  </si>
  <si>
    <t xml:space="preserve">Aquisição de Equipamentos de  Escritório </t>
  </si>
  <si>
    <t xml:space="preserve">Apoio à Gestão do Programa </t>
  </si>
  <si>
    <t xml:space="preserve">PSA IPOJUCA   -  CUSTO E FINANCIAMENTO </t>
  </si>
  <si>
    <t xml:space="preserve">Fortalecimento  Institucional da COMPESA </t>
  </si>
  <si>
    <t xml:space="preserve">Obras e Equipamentos </t>
  </si>
  <si>
    <t xml:space="preserve">Melhoria Sócioambiental </t>
  </si>
  <si>
    <t xml:space="preserve">Projetos de engenharia para os municípios de Caruaru, Gravatá, Belo Jardim, Poção, Chã Grande, Primavera </t>
  </si>
  <si>
    <t xml:space="preserve">Estudo para a avaliação dos ativos da  COMPESA </t>
  </si>
  <si>
    <t xml:space="preserve">Plano de  automação das unidades da  COMPESA </t>
  </si>
  <si>
    <t xml:space="preserve"> Plano de Micromedição </t>
  </si>
  <si>
    <t xml:space="preserve"> Plano de Normalização e Padronização dos processos da COMPESA  </t>
  </si>
  <si>
    <t xml:space="preserve"> Plano de Capacitação </t>
  </si>
  <si>
    <t xml:space="preserve">Sistema Integrado de Suprimentos e Logística </t>
  </si>
  <si>
    <t xml:space="preserve"> Plano de Manutenção Preventiva </t>
  </si>
  <si>
    <t xml:space="preserve">Sistema de Gestão de Projetos </t>
  </si>
  <si>
    <t xml:space="preserve"> Plano de Comunicação  Institucional  </t>
  </si>
  <si>
    <t xml:space="preserve">Sistema de Gestão Ambiental da  COMPESA </t>
  </si>
  <si>
    <t xml:space="preserve">Sistema de Controle Interno da  SRHE </t>
  </si>
  <si>
    <t>Sistema de  saneamento da cidade de  Tacaimbó</t>
  </si>
  <si>
    <t>Sistema de saneamento da cidade  de Sanharó</t>
  </si>
  <si>
    <t xml:space="preserve">Sistema de  saneamento da cidade  de Bezerros </t>
  </si>
  <si>
    <t xml:space="preserve">Sistema de saneamento da cidade  de Pesqueira </t>
  </si>
  <si>
    <t xml:space="preserve">Sistema de saneamento da cidade de Escada </t>
  </si>
  <si>
    <t>Sisema de saneamento da cidade  de São Caetano</t>
  </si>
  <si>
    <t>Sistema de saneamento da cidade de Arcoverde</t>
  </si>
  <si>
    <t xml:space="preserve">Sistema de saneamento da cidade  de Venturosa </t>
  </si>
  <si>
    <t xml:space="preserve">Sistema de abastecimento de água da  cidade de Porto de Galinhas </t>
  </si>
  <si>
    <t xml:space="preserve">Sistema de abastecimetno de água  da cidade de Bezerros </t>
  </si>
  <si>
    <t xml:space="preserve">Outros sistemas de saneamento </t>
  </si>
  <si>
    <t>Unidades de  manutenção dos sistemas de saneamento</t>
  </si>
  <si>
    <t>Construção de parques urbanos</t>
  </si>
  <si>
    <t>Metodologia para pagamento de serviços ambientais  - bacia do reservatório Bituri</t>
  </si>
  <si>
    <t>Recuperação de entornos de reservatórios de abastecimetno</t>
  </si>
  <si>
    <t>Proposta de enquadramento dos cursos d`'agua da bacia do rio Ipojuca</t>
  </si>
  <si>
    <t xml:space="preserve">Rede de monitoramento hidro meteorologico  </t>
  </si>
  <si>
    <t>Plano de   comunicação para os usuários da bacia do rio Ipojuca (BRI)</t>
  </si>
  <si>
    <t>Sistema de cobrança pelo uso da água na BRI</t>
  </si>
  <si>
    <t xml:space="preserve">Estruturação de Unidade de Gestão na BRI </t>
  </si>
  <si>
    <t xml:space="preserve">Estruturação do monitoramento da qualidade de água na BRI </t>
  </si>
  <si>
    <t>SBQC</t>
  </si>
  <si>
    <t>PE</t>
  </si>
  <si>
    <t xml:space="preserve">Proposta de sistema de outorga de lançamentos de efluentes </t>
  </si>
  <si>
    <t>total</t>
  </si>
  <si>
    <t>Metodologia para pagamento de serviços ambientais  - bacia do reservatório Bituri- Diagnostico , projeto  e implantação</t>
  </si>
  <si>
    <t>Rede de monitoramento hidro meteorologico   ( 10 PCD  e 100 telemetricas)</t>
  </si>
  <si>
    <t>CONTRAPARTIDA</t>
  </si>
  <si>
    <t>somatorio para conferencia</t>
  </si>
  <si>
    <t>ano 1</t>
  </si>
  <si>
    <t>ano2</t>
  </si>
  <si>
    <t>ano3</t>
  </si>
  <si>
    <t>ano4</t>
  </si>
  <si>
    <t>ano5</t>
  </si>
  <si>
    <t>ano6</t>
  </si>
  <si>
    <t>ano1</t>
  </si>
  <si>
    <t>ano 4</t>
  </si>
  <si>
    <t>ano 5</t>
  </si>
  <si>
    <t>ano 6</t>
  </si>
  <si>
    <t xml:space="preserve">  CONTRAPARTIDA OBRAS</t>
  </si>
  <si>
    <t>DEMAIS OBRAS</t>
  </si>
  <si>
    <t>CONTRAPARTIDA INSTITUCIONAL</t>
  </si>
  <si>
    <t>ANO 1</t>
  </si>
  <si>
    <t>ANO 2</t>
  </si>
  <si>
    <t>ANO 3</t>
  </si>
  <si>
    <t>ANO 4</t>
  </si>
  <si>
    <t>ANO 5</t>
  </si>
  <si>
    <t>ANO 6</t>
  </si>
  <si>
    <t>POA - ANO 1 - CUSTOS E CRONOGRAMA DE EXECUÇÃO</t>
  </si>
  <si>
    <t>QTD.</t>
  </si>
  <si>
    <t>TIPO DE CONTRA- TAÇÃO</t>
  </si>
  <si>
    <t>INÍCIO DO PROCESSO DA CONTRA- TAÇÃO</t>
  </si>
  <si>
    <t>INÍCIO DO PROCESSO DA EXECUÇÃO</t>
  </si>
  <si>
    <t>FIM DA ATIVIDADE</t>
  </si>
  <si>
    <t>DESPESA NO TRIMESTRE (Mil US$)</t>
  </si>
  <si>
    <t>CUSTO ANO 1</t>
  </si>
  <si>
    <t>4º</t>
  </si>
  <si>
    <t>1º</t>
  </si>
  <si>
    <t>2º</t>
  </si>
  <si>
    <t>3º</t>
  </si>
  <si>
    <t>Mil R$</t>
  </si>
  <si>
    <t>Mil US$</t>
  </si>
  <si>
    <t xml:space="preserve"> -</t>
  </si>
  <si>
    <t>2º Trim 2015</t>
  </si>
  <si>
    <t>3º Trim 2013</t>
  </si>
  <si>
    <t>4º Trim 2013</t>
  </si>
  <si>
    <t>2º Trim 2014</t>
  </si>
  <si>
    <t>3.2</t>
  </si>
  <si>
    <t xml:space="preserve">PLANO DE SANEAMENTO AMBIENTAL DA BACIA DO RIO IPOJUCA   - BR - L1295 </t>
  </si>
  <si>
    <t>CI</t>
  </si>
  <si>
    <t xml:space="preserve">SBQC </t>
  </si>
  <si>
    <t>LPN</t>
  </si>
  <si>
    <t>2º Trim 2019</t>
  </si>
  <si>
    <t>Aquisição de Equipamentos de  Escritório</t>
  </si>
  <si>
    <t>1º Trim 2014</t>
  </si>
  <si>
    <t>3º Trim 2014</t>
  </si>
  <si>
    <t>2º Trim 2018</t>
  </si>
  <si>
    <t>1º Trim 2015</t>
  </si>
  <si>
    <t>SQC</t>
  </si>
  <si>
    <t>1º Trim 2017</t>
  </si>
  <si>
    <t>1º Trim 2016</t>
  </si>
  <si>
    <t xml:space="preserve"> Aquisição de micromedidores </t>
  </si>
  <si>
    <t>Fortalecimento  Institucional</t>
  </si>
  <si>
    <t xml:space="preserve">Plano de Comunicação  Institucional  </t>
  </si>
  <si>
    <t xml:space="preserve">Plano de Manutenção Preventiva </t>
  </si>
  <si>
    <t xml:space="preserve">Plano de Capacitação </t>
  </si>
  <si>
    <t>Sustentabilidade Ambiental e Social</t>
  </si>
  <si>
    <t>Contingências</t>
  </si>
  <si>
    <t xml:space="preserve">Sustentabilidade Ambiental e Social </t>
  </si>
  <si>
    <t>Custos Associados</t>
  </si>
  <si>
    <t xml:space="preserve">Sistema de abastecimento de água  da cidade de Bezerros </t>
  </si>
  <si>
    <t>Recuperação de entornos de reservatórios de abastecimento</t>
  </si>
  <si>
    <t>Rede de monitoramento hidro meteorologico   (10 PCD  e 100 telepluviômetros)</t>
  </si>
  <si>
    <t xml:space="preserve">Plano de Normalização e Padronização dos processos da COMPESA  </t>
  </si>
  <si>
    <t xml:space="preserve">Projetos de engenharia para os municípios de Caruaru, Gravatá (2ª etapa), Belo Jardim, Poção, Chã Grande, Primavera </t>
  </si>
  <si>
    <t>Construção de parques urbanos ambiental</t>
  </si>
  <si>
    <t>3</t>
  </si>
  <si>
    <t>4</t>
  </si>
  <si>
    <t>5</t>
  </si>
  <si>
    <t>6</t>
  </si>
  <si>
    <t>7</t>
  </si>
  <si>
    <t>8</t>
  </si>
  <si>
    <t>Sistema de saneamento da cidade  de Pesqueira</t>
  </si>
  <si>
    <t>Outros sistemas de saneamento (Gravatá/Outros)</t>
  </si>
  <si>
    <t>Total   
(Mil US$)</t>
  </si>
  <si>
    <t>Estruturação de Unidade de Gestão na BRI - CPRH</t>
  </si>
  <si>
    <t xml:space="preserve">Estruturação do monitoramento da qualidade de água na BRI - CPRH </t>
  </si>
  <si>
    <t>Nº</t>
  </si>
  <si>
    <t>Descrição do Contrato</t>
  </si>
  <si>
    <t>Fonte</t>
  </si>
  <si>
    <t>Datas Estimadas</t>
  </si>
  <si>
    <t>1.1.1</t>
  </si>
  <si>
    <t>1.1.2</t>
  </si>
  <si>
    <t>1.1.3</t>
  </si>
  <si>
    <t>1.1.4</t>
  </si>
  <si>
    <t>P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</si>
  <si>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</si>
  <si>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</si>
  <si>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</si>
  <si>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</si>
  <si>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</si>
  <si>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</si>
  <si>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</si>
  <si>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</si>
  <si>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</si>
  <si>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</si>
  <si>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</si>
  <si>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</si>
  <si>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</si>
  <si>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</si>
  <si>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</si>
  <si>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</si>
  <si>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</si>
  <si>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</si>
  <si>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</si>
  <si>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</si>
  <si>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</si>
  <si>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</si>
  <si>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</si>
  <si>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</si>
  <si>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</si>
  <si>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</si>
  <si>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</si>
  <si>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</si>
  <si>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</si>
  <si>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</si>
  <si>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</si>
  <si>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</si>
  <si>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</si>
  <si>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</si>
  <si>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3.0</t>
  </si>
  <si>
    <t>4.0</t>
  </si>
  <si>
    <t>EXA</t>
  </si>
  <si>
    <t>EXP</t>
  </si>
  <si>
    <t>Metodologia para pagamento de serviços ambientais  - bacia do reservatório Bituri- Diagnostico, projeto  e implantação</t>
  </si>
  <si>
    <t>Plano de Micromedição e Cadastramento para Grandes Consumidores</t>
  </si>
  <si>
    <t>Proposta de enquadramento dos cursos d`água da bacia do rio Ipojuca</t>
  </si>
  <si>
    <t>2.1.12</t>
  </si>
  <si>
    <t>Aquisição de Mobiliário para a nova Sede da COMPESA</t>
  </si>
  <si>
    <t xml:space="preserve">Instalações de Hidrômetros  - Micromedição e Cadastramento para Grandes Consumidores </t>
  </si>
  <si>
    <t>Estudo para a avaliação dos ativos da COMPESA</t>
  </si>
  <si>
    <t>1.1.6</t>
  </si>
  <si>
    <t>2. Obras</t>
  </si>
  <si>
    <t>Construção de Sistema de Abastecimento de Água da Cidade de Porto de Galinhas</t>
  </si>
  <si>
    <t>3. BENS</t>
  </si>
  <si>
    <t>Aquisição de bens de uso administrativo</t>
  </si>
  <si>
    <t>4. SERVIÇOS TÉCNICOS (Serviços que não São de Consultoria)</t>
  </si>
  <si>
    <t>Auditoria independente externa</t>
  </si>
  <si>
    <t>1. Consultoria</t>
  </si>
  <si>
    <t>2.2.12.2</t>
  </si>
  <si>
    <t>A</t>
  </si>
  <si>
    <t>1.1.7</t>
  </si>
  <si>
    <r>
      <t>Atualização Nº</t>
    </r>
    <r>
      <rPr>
        <b/>
        <sz val="11"/>
        <color rgb="FFFF0000"/>
        <rFont val="Arial"/>
        <family val="2"/>
      </rPr>
      <t xml:space="preserve"> 01</t>
    </r>
  </si>
  <si>
    <t>Atualizado por UGP PSA IPOJUCA</t>
  </si>
  <si>
    <t>Método 
Aquisição 
(1)</t>
  </si>
  <si>
    <t>Revisão
(2)</t>
  </si>
  <si>
    <t>Publicação
Anúncio</t>
  </si>
  <si>
    <t>Término
Contrato</t>
  </si>
  <si>
    <t>Status
(3)</t>
  </si>
  <si>
    <t>Comentário</t>
  </si>
  <si>
    <t>EP</t>
  </si>
  <si>
    <t>2.3.1.1</t>
  </si>
  <si>
    <t>Obra Gravatá 1ª Etapa</t>
  </si>
  <si>
    <t>SUBTOTAL DE SERVIÇOS TÉCNICOS</t>
  </si>
  <si>
    <t>VALOR TOTAL</t>
  </si>
  <si>
    <t>PERCENTUAL (%) POR FONTE</t>
  </si>
  <si>
    <t>Estruturação do monitoramento da qualidade de água na BRI - CPRH Contratação de empresa consultora para realizar o diagnóstico da situação ambiental atual da BRI.</t>
  </si>
  <si>
    <t>Estruturação do monitoramento da qualidade de água na BRI - CPRH  - Contratação de empresa consultora para realizar o aprimoramento do Plano de Monitoramento atual avaliando a possibilidade de inclusão de bioindicadores e novos parametros físico - químicos.</t>
  </si>
  <si>
    <t>Estruturação do monitoramento da qualidade de água na BRI - CPRH - Contratação de empresa de consultoria para implementação do Programa da Qualidade</t>
  </si>
  <si>
    <t>Sistema de Gestão Ambiental da Compesa</t>
  </si>
  <si>
    <t>Recuperação de Entornos de Reservatórios de Abastecimento - Elaboração de Projetos de Restauração Florestal de APPs de Cursos D'águas e nascentes - APAC</t>
  </si>
  <si>
    <t xml:space="preserve">Plano de comunicação para os usuários da bacia do rio Ipojuca (BRI) - PSA </t>
  </si>
  <si>
    <t>Nº Componente Associado</t>
  </si>
  <si>
    <t>2.1.6.1</t>
  </si>
  <si>
    <t>2.2.2.1</t>
  </si>
  <si>
    <t>2.2.2.2</t>
  </si>
  <si>
    <t>2.3.3.1</t>
  </si>
  <si>
    <t>Contratação de Empresa para fornecimento, instalação e treinamento da Rede de monitoramento hidro meteorologico   (10 PCD  e 100 telepluviômetros) - APAC</t>
  </si>
  <si>
    <t>2.3.10.4</t>
  </si>
  <si>
    <t>2.3.10.5</t>
  </si>
  <si>
    <t>2.3.10.3</t>
  </si>
  <si>
    <t>1.2</t>
  </si>
  <si>
    <t>1.3</t>
  </si>
  <si>
    <t>1.4</t>
  </si>
  <si>
    <t>1.5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</si>
  <si>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</si>
  <si>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</si>
  <si>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</si>
  <si>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</si>
  <si>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</si>
  <si>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</si>
  <si>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</si>
  <si>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</si>
  <si>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</si>
  <si>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</si>
  <si>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</si>
  <si>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3.3</t>
  </si>
  <si>
    <t>3.4</t>
  </si>
  <si>
    <t>3.5</t>
  </si>
  <si>
    <t>Notas:</t>
  </si>
  <si>
    <t>(1)</t>
  </si>
  <si>
    <t>(2)</t>
  </si>
  <si>
    <t>(3)</t>
  </si>
  <si>
    <t>(4)</t>
  </si>
  <si>
    <t>(5)</t>
  </si>
  <si>
    <t>(6)</t>
  </si>
  <si>
    <t>(7)</t>
  </si>
  <si>
    <t>(8)</t>
  </si>
  <si>
    <t>BRASIL</t>
  </si>
  <si>
    <t xml:space="preserve">PLANO DE AQUISIÇÕES (PA) - 18 MESES </t>
  </si>
  <si>
    <t>PROGRAMA DE SANEAMENTO AMBIENTAL DA BACIA DO RIO IPOJUCA</t>
  </si>
  <si>
    <r>
      <t>Contrato de Empréstimo:  Nº 2901/OC-BR (BR-L1295)</t>
    </r>
    <r>
      <rPr>
        <b/>
        <sz val="11"/>
        <color rgb="FFFF0000"/>
        <rFont val="Calibri"/>
        <family val="2"/>
        <scheme val="minor"/>
      </rPr>
      <t/>
    </r>
  </si>
  <si>
    <t>1.7</t>
  </si>
  <si>
    <t>2.4</t>
  </si>
  <si>
    <t>2.5</t>
  </si>
  <si>
    <t>2.6</t>
  </si>
  <si>
    <t>2.7</t>
  </si>
  <si>
    <t>2.8</t>
  </si>
  <si>
    <t>2.9</t>
  </si>
  <si>
    <t>2.10</t>
  </si>
  <si>
    <t>CD</t>
  </si>
  <si>
    <t>Elaboração de diagnóstico, relatório técnico preliminar,  projeto básico e estudos complementares para implantação do sistema de esgotamento sanitário da sede municipal de  Belo Jardim e Bezerros</t>
  </si>
  <si>
    <t>2 - SUBTOTAL DE OBRAS</t>
  </si>
  <si>
    <t>3 - SUBTOTAL DE BENS</t>
  </si>
  <si>
    <t>1 - SUBTOTAL DE CONSULTORIA</t>
  </si>
  <si>
    <t>BID
(%)</t>
  </si>
  <si>
    <t>Local 
(%)</t>
  </si>
  <si>
    <t>EA</t>
  </si>
  <si>
    <t>2.2.13.1</t>
  </si>
  <si>
    <t>2.3.2.1</t>
  </si>
  <si>
    <t>1.18</t>
  </si>
  <si>
    <t>2.2.2.3</t>
  </si>
  <si>
    <t>1.19</t>
  </si>
  <si>
    <t>1.20</t>
  </si>
  <si>
    <t>1.1.5</t>
  </si>
  <si>
    <t>2.1.13.1</t>
  </si>
  <si>
    <t>2.1.13.2</t>
  </si>
  <si>
    <t>2.1.13.3</t>
  </si>
  <si>
    <t>2.1.13.4</t>
  </si>
  <si>
    <t>2.1.13.5</t>
  </si>
  <si>
    <t>2.1.13.6</t>
  </si>
  <si>
    <t>2.1.13.7</t>
  </si>
  <si>
    <r>
      <rPr>
        <b/>
        <sz val="12"/>
        <color theme="1"/>
        <rFont val="Arial"/>
        <family val="2"/>
      </rPr>
      <t>Métodos de Aquisição</t>
    </r>
    <r>
      <rPr>
        <sz val="12"/>
        <color theme="1"/>
        <rFont val="Arial"/>
        <family val="2"/>
      </rPr>
      <t>: (</t>
    </r>
    <r>
      <rPr>
        <b/>
        <sz val="12"/>
        <color theme="1"/>
        <rFont val="Arial"/>
        <family val="2"/>
      </rPr>
      <t>a) BID: LPI:</t>
    </r>
    <r>
      <rPr>
        <sz val="12"/>
        <color theme="1"/>
        <rFont val="Arial"/>
        <family val="2"/>
      </rPr>
      <t xml:space="preserve"> Licitação Pública Internacional; </t>
    </r>
    <r>
      <rPr>
        <b/>
        <sz val="12"/>
        <color theme="1"/>
        <rFont val="Arial"/>
        <family val="2"/>
      </rPr>
      <t>LPN:</t>
    </r>
    <r>
      <rPr>
        <sz val="12"/>
        <color theme="1"/>
        <rFont val="Arial"/>
        <family val="2"/>
      </rPr>
      <t xml:space="preserve"> Licitação Pública Nacional; </t>
    </r>
    <r>
      <rPr>
        <b/>
        <sz val="12"/>
        <color theme="1"/>
        <rFont val="Arial"/>
        <family val="2"/>
      </rPr>
      <t>CP:</t>
    </r>
    <r>
      <rPr>
        <sz val="12"/>
        <color theme="1"/>
        <rFont val="Arial"/>
        <family val="2"/>
      </rPr>
      <t xml:space="preserve"> Comparação de Preços; </t>
    </r>
    <r>
      <rPr>
        <b/>
        <sz val="12"/>
        <color theme="1"/>
        <rFont val="Arial"/>
        <family val="2"/>
      </rPr>
      <t>CD:</t>
    </r>
    <r>
      <rPr>
        <sz val="12"/>
        <color theme="1"/>
        <rFont val="Arial"/>
        <family val="2"/>
      </rPr>
      <t xml:space="preserve"> Contratação Direta; </t>
    </r>
    <r>
      <rPr>
        <b/>
        <sz val="12"/>
        <color theme="1"/>
        <rFont val="Arial"/>
        <family val="2"/>
      </rPr>
      <t>SBQC:</t>
    </r>
    <r>
      <rPr>
        <sz val="12"/>
        <color theme="1"/>
        <rFont val="Arial"/>
        <family val="2"/>
      </rPr>
      <t xml:space="preserve"> Seleção Baseada na Qualidade e Custo; </t>
    </r>
    <r>
      <rPr>
        <b/>
        <sz val="12"/>
        <color theme="1"/>
        <rFont val="Arial"/>
        <family val="2"/>
      </rPr>
      <t xml:space="preserve">SQC: </t>
    </r>
    <r>
      <rPr>
        <sz val="12"/>
        <color theme="1"/>
        <rFont val="Arial"/>
        <family val="2"/>
      </rPr>
      <t xml:space="preserve">Seleção Baseada nas Qualificações dos Consultores; </t>
    </r>
    <r>
      <rPr>
        <b/>
        <sz val="12"/>
        <color theme="1"/>
        <rFont val="Arial"/>
        <family val="2"/>
      </rPr>
      <t xml:space="preserve">SBMC: </t>
    </r>
    <r>
      <rPr>
        <sz val="12"/>
        <color theme="1"/>
        <rFont val="Arial"/>
        <family val="2"/>
      </rPr>
      <t xml:space="preserve">Seleção Baseada no Menor Custo; </t>
    </r>
    <r>
      <rPr>
        <b/>
        <sz val="12"/>
        <color theme="1"/>
        <rFont val="Arial"/>
        <family val="2"/>
      </rPr>
      <t xml:space="preserve">SBOF: </t>
    </r>
    <r>
      <rPr>
        <sz val="12"/>
        <color theme="1"/>
        <rFont val="Arial"/>
        <family val="2"/>
      </rPr>
      <t>Seleção Baseada em Orçamento Fixo;</t>
    </r>
    <r>
      <rPr>
        <b/>
        <sz val="12"/>
        <color theme="1"/>
        <rFont val="Arial"/>
        <family val="2"/>
      </rPr>
      <t xml:space="preserve"> SBQ</t>
    </r>
    <r>
      <rPr>
        <sz val="12"/>
        <color theme="1"/>
        <rFont val="Arial"/>
        <family val="2"/>
      </rPr>
      <t xml:space="preserve">: Seleção Baseada na Qualidade; </t>
    </r>
    <r>
      <rPr>
        <b/>
        <sz val="12"/>
        <color theme="1"/>
        <rFont val="Arial"/>
        <family val="2"/>
      </rPr>
      <t>CD:</t>
    </r>
    <r>
      <rPr>
        <sz val="12"/>
        <color theme="1"/>
        <rFont val="Arial"/>
        <family val="2"/>
      </rPr>
      <t xml:space="preserve"> Contratação Direta; </t>
    </r>
    <r>
      <rPr>
        <b/>
        <sz val="12"/>
        <color theme="1"/>
        <rFont val="Arial"/>
        <family val="2"/>
      </rPr>
      <t>CI:</t>
    </r>
    <r>
      <rPr>
        <sz val="12"/>
        <color theme="1"/>
        <rFont val="Arial"/>
        <family val="2"/>
      </rPr>
      <t xml:space="preserve"> Consultor Individual. (</t>
    </r>
    <r>
      <rPr>
        <b/>
        <sz val="12"/>
        <color theme="1"/>
        <rFont val="Arial"/>
        <family val="2"/>
      </rPr>
      <t xml:space="preserve">b) Lei 8.666: C: </t>
    </r>
    <r>
      <rPr>
        <sz val="12"/>
        <color theme="1"/>
        <rFont val="Arial"/>
        <family val="2"/>
      </rPr>
      <t>Carta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Convite; </t>
    </r>
    <r>
      <rPr>
        <b/>
        <sz val="12"/>
        <color theme="1"/>
        <rFont val="Arial"/>
        <family val="2"/>
      </rPr>
      <t>TP:</t>
    </r>
    <r>
      <rPr>
        <sz val="12"/>
        <color theme="1"/>
        <rFont val="Arial"/>
        <family val="2"/>
      </rPr>
      <t xml:space="preserve"> Tomada de Preço; </t>
    </r>
    <r>
      <rPr>
        <b/>
        <sz val="12"/>
        <color theme="1"/>
        <rFont val="Arial"/>
        <family val="2"/>
      </rPr>
      <t>CPN:</t>
    </r>
    <r>
      <rPr>
        <sz val="12"/>
        <color theme="1"/>
        <rFont val="Arial"/>
        <family val="2"/>
      </rPr>
      <t xml:space="preserve"> Concorrência Pública Nacional; </t>
    </r>
    <r>
      <rPr>
        <b/>
        <sz val="12"/>
        <color theme="1"/>
        <rFont val="Arial"/>
        <family val="2"/>
      </rPr>
      <t>PE:</t>
    </r>
    <r>
      <rPr>
        <sz val="12"/>
        <color theme="1"/>
        <rFont val="Arial"/>
        <family val="2"/>
      </rPr>
      <t xml:space="preserve"> Pregão Eletrônico; </t>
    </r>
    <r>
      <rPr>
        <b/>
        <sz val="12"/>
        <color theme="1"/>
        <rFont val="Arial"/>
        <family val="2"/>
      </rPr>
      <t>ARP:</t>
    </r>
    <r>
      <rPr>
        <sz val="12"/>
        <color theme="1"/>
        <rFont val="Arial"/>
        <family val="2"/>
      </rPr>
      <t xml:space="preserve"> Ata de Registro de Preços,</t>
    </r>
    <r>
      <rPr>
        <b/>
        <sz val="12"/>
        <color theme="1"/>
        <rFont val="Arial"/>
        <family val="2"/>
      </rPr>
      <t xml:space="preserve"> PP</t>
    </r>
    <r>
      <rPr>
        <sz val="12"/>
        <color theme="1"/>
        <rFont val="Arial"/>
        <family val="2"/>
      </rPr>
      <t xml:space="preserve">: Pregão Presencial, </t>
    </r>
    <r>
      <rPr>
        <b/>
        <sz val="12"/>
        <color theme="1"/>
        <rFont val="Arial"/>
        <family val="2"/>
      </rPr>
      <t>CD</t>
    </r>
    <r>
      <rPr>
        <sz val="12"/>
        <color theme="1"/>
        <rFont val="Arial"/>
        <family val="2"/>
      </rPr>
      <t>: Contratação Direta</t>
    </r>
  </si>
  <si>
    <r>
      <rPr>
        <b/>
        <sz val="12"/>
        <color theme="1"/>
        <rFont val="Arial"/>
        <family val="2"/>
      </rPr>
      <t>Revisões BID</t>
    </r>
    <r>
      <rPr>
        <sz val="12"/>
        <color theme="1"/>
        <rFont val="Arial"/>
        <family val="2"/>
      </rPr>
      <t>: EXA =</t>
    </r>
    <r>
      <rPr>
        <i/>
        <sz val="12"/>
        <color theme="1"/>
        <rFont val="Arial"/>
        <family val="2"/>
      </rPr>
      <t xml:space="preserve">Ex-ante </t>
    </r>
    <r>
      <rPr>
        <sz val="12"/>
        <color theme="1"/>
        <rFont val="Arial"/>
        <family val="2"/>
      </rPr>
      <t>e EXP=</t>
    </r>
    <r>
      <rPr>
        <i/>
        <sz val="12"/>
        <color theme="1"/>
        <rFont val="Arial"/>
        <family val="2"/>
      </rPr>
      <t xml:space="preserve"> Ex-post</t>
    </r>
  </si>
  <si>
    <r>
      <rPr>
        <b/>
        <sz val="12"/>
        <color theme="1"/>
        <rFont val="Arial"/>
        <family val="2"/>
      </rPr>
      <t>Status</t>
    </r>
    <r>
      <rPr>
        <sz val="12"/>
        <color theme="1"/>
        <rFont val="Arial"/>
        <family val="2"/>
      </rPr>
      <t>: Pendente (P); Em Processo  (EP); Adjudicado (A); Cancelado (C )</t>
    </r>
  </si>
  <si>
    <r>
      <rPr>
        <b/>
        <sz val="12"/>
        <color theme="1"/>
        <rFont val="Arial"/>
        <family val="2"/>
      </rPr>
      <t>Alterações:</t>
    </r>
    <r>
      <rPr>
        <sz val="12"/>
        <color theme="1"/>
        <rFont val="Arial"/>
        <family val="2"/>
      </rPr>
      <t xml:space="preserve"> Indicar em vermelho as alterações feitas nas aquisições já constantes do PA</t>
    </r>
  </si>
  <si>
    <r>
      <rPr>
        <b/>
        <sz val="12"/>
        <color theme="1"/>
        <rFont val="Arial"/>
        <family val="2"/>
      </rPr>
      <t>Inclusões:</t>
    </r>
    <r>
      <rPr>
        <sz val="12"/>
        <color theme="1"/>
        <rFont val="Arial"/>
        <family val="2"/>
      </rPr>
      <t xml:space="preserve"> Indicar em azul as aquisições agora incluídas no PA</t>
    </r>
  </si>
  <si>
    <r>
      <rPr>
        <b/>
        <sz val="12"/>
        <color theme="1"/>
        <rFont val="Arial"/>
        <family val="2"/>
      </rPr>
      <t>Cancelamentos:</t>
    </r>
    <r>
      <rPr>
        <sz val="12"/>
        <color theme="1"/>
        <rFont val="Arial"/>
        <family val="2"/>
      </rPr>
      <t xml:space="preserve"> indicar em verde os cancelamentos das aquisições constantes do PA</t>
    </r>
  </si>
  <si>
    <r>
      <rPr>
        <b/>
        <sz val="12"/>
        <color theme="1"/>
        <rFont val="Arial"/>
        <family val="2"/>
      </rPr>
      <t>Folha Anexa</t>
    </r>
    <r>
      <rPr>
        <sz val="12"/>
        <color theme="1"/>
        <rFont val="Arial"/>
        <family val="2"/>
      </rPr>
      <t>: Fazer comentários complementares ou esclarecedores , quando necessário, em folha anexa.</t>
    </r>
  </si>
  <si>
    <r>
      <rPr>
        <b/>
        <sz val="12"/>
        <color theme="1"/>
        <rFont val="Arial"/>
        <family val="2"/>
      </rPr>
      <t>Histórico</t>
    </r>
    <r>
      <rPr>
        <b/>
        <sz val="11"/>
        <color theme="1"/>
        <rFont val="Arial"/>
        <family val="2"/>
      </rPr>
      <t>:</t>
    </r>
    <r>
      <rPr>
        <sz val="10"/>
        <rFont val="Arial"/>
        <family val="2"/>
      </rPr>
      <t xml:space="preserve"> Manter no PA todas as aquisições adjudicadas e/ou canceladas</t>
    </r>
  </si>
  <si>
    <t>1.21</t>
  </si>
  <si>
    <t>2.3.9.2</t>
  </si>
  <si>
    <t>Consultoria individual em apoio à UGP - Assessor Especial de Coordenação</t>
  </si>
  <si>
    <t>Consultoria individual em apoio à UGP - Coordenador Setorial - APAC</t>
  </si>
  <si>
    <t>Consultoria individual em apoio à UGP - Assessor Jurídico</t>
  </si>
  <si>
    <t>Consultoria individual em apoio à UGP - Assessor Administrativo/Financeiro</t>
  </si>
  <si>
    <t>Consultoria individual em apoio à UGP - Assessor Técnico</t>
  </si>
  <si>
    <t xml:space="preserve">Consultoria individual em apoio à UGP -  Coordenador Executivo </t>
  </si>
  <si>
    <t>Apoio à UGP para Supervisão das Obras</t>
  </si>
  <si>
    <t>Apoio à UGP para o Gerenciamento do Programa.</t>
  </si>
  <si>
    <t xml:space="preserve">Elaboração do plano de manutenção dos SES </t>
  </si>
  <si>
    <t>Contratação da obra do Sistema de Esgotamento Sanitário da cidade de  Tacaimbó</t>
  </si>
  <si>
    <t>Contratação da obra do Sistema de Esgotamento Sanitário da cidade de Escada</t>
  </si>
  <si>
    <t>Contratação da obra do Sistema de Esgotamento Sanitário da Cidade de Arcoverde</t>
  </si>
  <si>
    <t>Contratação da obra do Sistema de Esgotamento Sanitário da Cidade de Venturosa</t>
  </si>
  <si>
    <t>CPN</t>
  </si>
  <si>
    <t>Obra de automação dos sistemas de Varzea do Una e Botafogo</t>
  </si>
  <si>
    <t>3.6</t>
  </si>
  <si>
    <t>Aquisição de materiais para obra do sistema de esgotamento sanitário da cidade de  Tacaimbó</t>
  </si>
  <si>
    <t xml:space="preserve">Aquisição de materiais para obra do sistema de esgotamento sanitário da cidade de Gravatá 1ª Etapa </t>
  </si>
  <si>
    <t>Aquisição de materiais para obra de automação dos sistemas de Varzea do Una (atuadores elétricos para válvulas)</t>
  </si>
  <si>
    <t>Contratação de Empresa de fornecimento de equipamentos - CPRH</t>
  </si>
  <si>
    <t>Contratação de Consultoria Individual para elaboração do projeto de  arquitetura e orçamento para reforma e construção dos  imóveis que abriga o Sistema Integrado de Suprimentos e Logísticas</t>
  </si>
  <si>
    <t>Elaboração do Plano de Gestão de projetos</t>
  </si>
  <si>
    <t>Estudo para Desenvolvimento da Metodologia para o pagamento de serviços ambientais - bacia do reservatório Bitury - Contratação do Diagnóstico e Projeto - APAC.</t>
  </si>
  <si>
    <t xml:space="preserve">Elaboração de diagnóstico, relatório técnico preliminar,  projeto básico e estudos complementares para implantação do sistema de esgotamento sanitário da sede municipal de  Caruaru </t>
  </si>
  <si>
    <t>Contratação de empresa para estudo de concepção dos parques - APAC</t>
  </si>
  <si>
    <r>
      <t xml:space="preserve">Custo 
Estimado (1000)
US$ = </t>
    </r>
    <r>
      <rPr>
        <b/>
        <sz val="12"/>
        <color rgb="FFFF0000"/>
        <rFont val="Arial"/>
        <family val="2"/>
      </rPr>
      <t>R$2,20</t>
    </r>
  </si>
  <si>
    <t>Plano de Micromedição</t>
  </si>
  <si>
    <t>C</t>
  </si>
  <si>
    <t>Plano de Comunicação Institucional</t>
  </si>
  <si>
    <t>Cancelado p/esse período</t>
  </si>
  <si>
    <t>Contratação da obra do Sistema de Esgotamento Sanitário da cidade de São Caetano</t>
  </si>
  <si>
    <t>Construção de Sistema de Abastecimento de Água da Cidade de Bezerros</t>
  </si>
  <si>
    <t>Aquisição de equipamentos</t>
  </si>
  <si>
    <t>3.7</t>
  </si>
  <si>
    <t>Transferido p/ item 2-Consultoria</t>
  </si>
  <si>
    <t>Contratação de Trabalho Técnico Social - SES Tacaimbó, Gravatá (1º etapa), Sanharó e Bezerros</t>
  </si>
  <si>
    <t>AF200</t>
  </si>
  <si>
    <t>Consultoria individual em apoio à UGP - Orçamentista</t>
  </si>
  <si>
    <r>
      <t>Atualizado em:</t>
    </r>
    <r>
      <rPr>
        <b/>
        <sz val="11"/>
        <color rgb="FFFF0000"/>
        <rFont val="Arial"/>
        <family val="2"/>
      </rPr>
      <t xml:space="preserve"> 21 de Novembro</t>
    </r>
    <r>
      <rPr>
        <b/>
        <sz val="11"/>
        <color indexed="8"/>
        <rFont val="Arial"/>
        <family val="2"/>
      </rPr>
      <t xml:space="preserve"> de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</si>
</sst>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(* #,##0.00_);_(* \(#,##0.00\);_(* &quot;-&quot;??_);_(@_)"/>
    <numFmt numFmtId="164" formatCode="_-* #,##0.00_-;\-* #,##0.00_-;_-* &quot;-&quot;??_-;_-@_-"/>
    <numFmt numFmtId="165" formatCode="_(&quot;R$ &quot;* #,##0.00_);_(&quot;R$ &quot;* \(#,##0.00\);_(&quot;R$ &quot;* &quot;-&quot;??_);_(@_)"/>
    <numFmt numFmtId="166" formatCode="_([$€-2]* #,##0.00_);_([$€-2]* \(#,##0.00\);_([$€-2]* &quot;-&quot;??_)"/>
    <numFmt numFmtId="167" formatCode="0.0%"/>
    <numFmt numFmtId="168" formatCode="0.00000"/>
    <numFmt numFmtId="169" formatCode="#,##0.0_);\(#,##0.0\)"/>
    <numFmt numFmtId="170" formatCode="0.00_)"/>
    <numFmt numFmtId="171" formatCode="d\.mmm"/>
    <numFmt numFmtId="172" formatCode="0.00000000"/>
    <numFmt numFmtId="173" formatCode="0.0000000000"/>
    <numFmt numFmtId="174" formatCode="&quot;$&quot;#,##0.00000_);\(&quot;$&quot;#,##0.00000\)"/>
    <numFmt numFmtId="175" formatCode="0.0_)"/>
    <numFmt numFmtId="176" formatCode="&quot;R&quot;\ #,##0;&quot;R&quot;\ \-#,##0"/>
    <numFmt numFmtId="177" formatCode="&quot;Cr$&quot;\ #,##0.00_);\(&quot;Cr$&quot;\ #,##0.00\)"/>
    <numFmt numFmtId="178" formatCode="_(* #,##0.0_);_(* \(#,##0.0\);_(* &quot;-&quot;??_);_(@_)"/>
    <numFmt numFmtId="179" formatCode="_(* #,##0_);_(* \(#,##0\);_(* &quot;-&quot;??_);_(@_)"/>
    <numFmt numFmtId="180" formatCode="#,##0."/>
    <numFmt numFmtId="181" formatCode="_-* #,##0.00\ _P_t_s_-;\-* #,##0.00\ _P_t_s_-;_-* &quot;-&quot;??\ _P_t_s_-;_-@_-"/>
    <numFmt numFmtId="182" formatCode="_-* #,##0\ _P_t_s_-;\-* #,##0\ _P_t_s_-;_-* &quot;-&quot;\ _P_t_s_-;_-@_-"/>
    <numFmt numFmtId="183" formatCode="_(* #,##0.000_);_(* \(#,##0.000\);_(* &quot;-&quot;??_);_(@_)"/>
    <numFmt numFmtId="184" formatCode="_(* #,##0.0000_);_(* \(#,##0.0000\);_(* &quot;-&quot;????_);_(@_)"/>
    <numFmt numFmtId="185" formatCode="0.0000"/>
    <numFmt numFmtId="186" formatCode="_-* #,##0.0000_-;\-* #,##0.0000_-;_-* &quot;-&quot;????_-;_-@_-"/>
    <numFmt numFmtId="187" formatCode="&quot;R$ &quot;#,##0.0000"/>
    <numFmt numFmtId="188" formatCode="&quot;R$&quot;\ #,##0.00"/>
    <numFmt numFmtId="189" formatCode="_(&quot;R$ &quot;* #,##0.0000_);_(&quot;R$ &quot;* \(#,##0.0000\);_(&quot;R$ &quot;* &quot;-&quot;????_);_(@_)"/>
    <numFmt numFmtId="190" formatCode="General_)"/>
    <numFmt numFmtId="191" formatCode="[$-416]mmm\-yy;@"/>
    <numFmt numFmtId="192" formatCode="[$-416]mmmm\-yy;@"/>
  </numFmts>
  <fonts count="9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Helv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24"/>
      <name val="Arial"/>
      <family val="2"/>
    </font>
    <font>
      <sz val="10"/>
      <name val="MS Sans Serif"/>
      <family val="2"/>
    </font>
    <font>
      <sz val="8"/>
      <name val="CG Times (E1)"/>
    </font>
    <font>
      <sz val="10"/>
      <name val="Helv"/>
    </font>
    <font>
      <sz val="1"/>
      <color indexed="8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hadow/>
      <sz val="8"/>
      <color indexed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i/>
      <sz val="10"/>
      <name val="Arial"/>
      <family val="2"/>
    </font>
    <font>
      <b/>
      <sz val="12"/>
      <name val="Univers (WN)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Univers (E1)"/>
    </font>
    <font>
      <b/>
      <sz val="14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8"/>
      <name val="Times New Roman"/>
      <family val="1"/>
    </font>
    <font>
      <b/>
      <sz val="18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rgb="FF01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2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6"/>
      <name val="Arial"/>
      <family val="2"/>
    </font>
    <font>
      <b/>
      <sz val="13"/>
      <name val="Arial"/>
      <family val="2"/>
    </font>
    <font>
      <sz val="11"/>
      <color rgb="FF01000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3"/>
      <name val="Arial"/>
      <family val="2"/>
    </font>
    <font>
      <sz val="12"/>
      <color rgb="FF00B050"/>
      <name val="Arial"/>
      <family val="2"/>
    </font>
    <font>
      <sz val="12"/>
      <color theme="4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3"/>
      <name val="Arial"/>
      <family val="2"/>
    </font>
    <font>
      <sz val="12"/>
      <color theme="4" tint="-0.249977111117893"/>
      <name val="Arial"/>
      <family val="2"/>
    </font>
    <font>
      <i/>
      <sz val="12"/>
      <color theme="3"/>
      <name val="Arial"/>
      <family val="2"/>
    </font>
    <font>
      <b/>
      <sz val="12"/>
      <color theme="4"/>
      <name val="Arial"/>
      <family val="2"/>
    </font>
    <font>
      <b/>
      <sz val="12"/>
      <color theme="4" tint="-0.249977111117893"/>
      <name val="Arial"/>
      <family val="2"/>
    </font>
    <font>
      <sz val="12"/>
      <color theme="3" tint="0.39997558519241921"/>
      <name val="Arial"/>
      <family val="2"/>
    </font>
    <font>
      <b/>
      <sz val="12"/>
      <color rgb="FF00B05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14">
    <xf numFmtId="0" fontId="0" fillId="0" borderId="0"/>
    <xf numFmtId="177" fontId="1" fillId="0" borderId="0">
      <alignment horizontal="center"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Border="0"/>
    <xf numFmtId="3" fontId="5" fillId="0" borderId="0" applyNumberFormat="0" applyFill="0" applyBorder="0" applyAlignment="0" applyProtection="0"/>
    <xf numFmtId="3" fontId="6" fillId="0" borderId="0" applyNumberFormat="0" applyFill="0" applyBorder="0" applyAlignment="0" applyProtection="0"/>
    <xf numFmtId="175" fontId="1" fillId="0" borderId="0" applyNumberFormat="0" applyFill="0" applyBorder="0" applyAlignment="0"/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4" applyNumberFormat="0" applyFill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3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5" fontId="12" fillId="0" borderId="0" applyFont="0" applyFill="0" applyBorder="0" applyAlignment="0" applyProtection="0">
      <alignment horizontal="left"/>
    </xf>
    <xf numFmtId="0" fontId="1" fillId="0" borderId="0" applyFont="0" applyFill="0" applyBorder="0" applyProtection="0">
      <alignment horizontal="left"/>
    </xf>
    <xf numFmtId="169" fontId="13" fillId="0" borderId="0" applyFont="0" applyFill="0" applyBorder="0" applyAlignment="0" applyProtection="0">
      <protection locked="0"/>
    </xf>
    <xf numFmtId="39" fontId="14" fillId="0" borderId="0" applyFont="0" applyFill="0" applyBorder="0" applyAlignment="0" applyProtection="0"/>
    <xf numFmtId="174" fontId="1" fillId="0" borderId="0" applyFont="0" applyFill="0" applyBorder="0" applyAlignment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66" fontId="1" fillId="0" borderId="0" applyFont="0" applyFill="0" applyBorder="0" applyAlignment="0" applyProtection="0"/>
    <xf numFmtId="180" fontId="15" fillId="0" borderId="0">
      <protection locked="0"/>
    </xf>
    <xf numFmtId="180" fontId="15" fillId="0" borderId="0">
      <protection locked="0"/>
    </xf>
    <xf numFmtId="180" fontId="15" fillId="0" borderId="0">
      <protection locked="0"/>
    </xf>
    <xf numFmtId="180" fontId="15" fillId="0" borderId="0">
      <protection locked="0"/>
    </xf>
    <xf numFmtId="180" fontId="15" fillId="0" borderId="0">
      <protection locked="0"/>
    </xf>
    <xf numFmtId="180" fontId="15" fillId="0" borderId="0">
      <protection locked="0"/>
    </xf>
    <xf numFmtId="180" fontId="15" fillId="0" borderId="0">
      <protection locked="0"/>
    </xf>
    <xf numFmtId="38" fontId="16" fillId="22" borderId="0" applyNumberFormat="0" applyBorder="0" applyAlignment="0" applyProtection="0"/>
    <xf numFmtId="0" fontId="17" fillId="0" borderId="5" applyNumberFormat="0" applyAlignment="0" applyProtection="0">
      <alignment horizontal="left" vertical="center"/>
    </xf>
    <xf numFmtId="0" fontId="17" fillId="0" borderId="6">
      <alignment horizontal="left" vertical="center"/>
    </xf>
    <xf numFmtId="0" fontId="18" fillId="3" borderId="0" applyNumberFormat="0" applyBorder="0" applyAlignment="0" applyProtection="0"/>
    <xf numFmtId="37" fontId="19" fillId="0" borderId="0" applyFill="0" applyBorder="0" applyAlignment="0">
      <protection locked="0"/>
    </xf>
    <xf numFmtId="167" fontId="19" fillId="0" borderId="10" applyFill="0" applyBorder="0" applyAlignment="0">
      <alignment horizontal="center"/>
      <protection locked="0"/>
    </xf>
    <xf numFmtId="10" fontId="16" fillId="23" borderId="11" applyNumberFormat="0" applyBorder="0" applyAlignment="0" applyProtection="0"/>
    <xf numFmtId="169" fontId="19" fillId="0" borderId="0" applyFill="0" applyBorder="0" applyAlignment="0">
      <protection locked="0"/>
    </xf>
    <xf numFmtId="174" fontId="1" fillId="0" borderId="0" applyFill="0" applyBorder="0" applyAlignment="0" applyProtection="0">
      <protection locked="0"/>
    </xf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0" fillId="24" borderId="0" applyNumberFormat="0" applyBorder="0" applyAlignment="0" applyProtection="0"/>
    <xf numFmtId="37" fontId="21" fillId="0" borderId="0"/>
    <xf numFmtId="170" fontId="22" fillId="0" borderId="0"/>
    <xf numFmtId="175" fontId="1" fillId="0" borderId="0" applyFill="0" applyBorder="0" applyAlignment="0"/>
    <xf numFmtId="190" fontId="59" fillId="0" borderId="0"/>
    <xf numFmtId="0" fontId="2" fillId="0" borderId="0"/>
    <xf numFmtId="0" fontId="2" fillId="0" borderId="0"/>
    <xf numFmtId="0" fontId="1" fillId="0" borderId="0"/>
    <xf numFmtId="0" fontId="44" fillId="0" borderId="0"/>
    <xf numFmtId="0" fontId="2" fillId="25" borderId="12" applyNumberFormat="0" applyFont="0" applyAlignment="0" applyProtection="0"/>
    <xf numFmtId="9" fontId="1" fillId="0" borderId="10" applyNumberFormat="0" applyBorder="0">
      <alignment horizontal="center" vertical="center"/>
    </xf>
    <xf numFmtId="0" fontId="23" fillId="26" borderId="11" applyNumberFormat="0" applyFont="0" applyBorder="0" applyAlignment="0" applyProtection="0">
      <alignment horizontal="center"/>
    </xf>
    <xf numFmtId="9" fontId="1" fillId="0" borderId="0" applyFont="0" applyFill="0" applyBorder="0" applyAlignment="0" applyProtection="0"/>
    <xf numFmtId="176" fontId="1" fillId="0" borderId="14" applyFont="0" applyFill="0" applyBorder="0" applyAlignment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9" fillId="0" borderId="0" applyFont="0" applyFill="0" applyBorder="0" applyAlignment="0" applyProtection="0"/>
    <xf numFmtId="3" fontId="24" fillId="0" borderId="0" applyFill="0" applyBorder="0" applyAlignment="0" applyProtection="0"/>
    <xf numFmtId="3" fontId="25" fillId="0" borderId="0" applyFill="0" applyBorder="0" applyAlignment="0" applyProtection="0"/>
    <xf numFmtId="3" fontId="24" fillId="0" borderId="0" applyFill="0" applyBorder="0" applyAlignment="0" applyProtection="0"/>
    <xf numFmtId="0" fontId="26" fillId="20" borderId="13" applyNumberFormat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12" fillId="27" borderId="0" applyNumberFormat="0" applyFont="0" applyBorder="0" applyAlignment="0" applyProtection="0"/>
    <xf numFmtId="43" fontId="27" fillId="0" borderId="15"/>
    <xf numFmtId="38" fontId="28" fillId="0" borderId="0" applyFill="0" applyBorder="0" applyAlignment="0" applyProtection="0"/>
    <xf numFmtId="0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" fontId="13" fillId="0" borderId="0" applyFont="0" applyFill="0" applyBorder="0" applyAlignment="0" applyProtection="0">
      <alignment horizontal="left"/>
    </xf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10" fontId="36" fillId="0" borderId="17" applyNumberFormat="0" applyFont="0" applyFill="0" applyAlignment="0" applyProtection="0"/>
    <xf numFmtId="0" fontId="1" fillId="0" borderId="6" applyFont="0" applyFill="0" applyBorder="0" applyAlignment="0" applyProtection="0"/>
  </cellStyleXfs>
  <cellXfs count="929">
    <xf numFmtId="0" fontId="0" fillId="0" borderId="0" xfId="0"/>
    <xf numFmtId="0" fontId="37" fillId="0" borderId="0" xfId="76" applyFont="1"/>
    <xf numFmtId="0" fontId="38" fillId="0" borderId="0" xfId="76" applyFont="1"/>
    <xf numFmtId="179" fontId="39" fillId="0" borderId="0" xfId="28" applyNumberFormat="1" applyFont="1"/>
    <xf numFmtId="179" fontId="38" fillId="0" borderId="0" xfId="77" applyNumberFormat="1" applyFont="1" applyFill="1" applyAlignment="1">
      <alignment vertical="center"/>
    </xf>
    <xf numFmtId="179" fontId="40" fillId="0" borderId="0" xfId="77" applyNumberFormat="1" applyFont="1" applyFill="1" applyAlignment="1">
      <alignment horizontal="center" vertical="center"/>
    </xf>
    <xf numFmtId="43" fontId="40" fillId="0" borderId="0" xfId="77" applyNumberFormat="1" applyFont="1" applyFill="1" applyAlignment="1">
      <alignment horizontal="left" vertical="center"/>
    </xf>
    <xf numFmtId="43" fontId="38" fillId="0" borderId="0" xfId="77" applyNumberFormat="1" applyFont="1" applyFill="1" applyAlignment="1">
      <alignment vertical="center"/>
    </xf>
    <xf numFmtId="0" fontId="41" fillId="0" borderId="0" xfId="76" applyFont="1"/>
    <xf numFmtId="0" fontId="39" fillId="0" borderId="0" xfId="76" applyFont="1" applyBorder="1"/>
    <xf numFmtId="0" fontId="42" fillId="0" borderId="0" xfId="76" applyFont="1" applyFill="1" applyBorder="1" applyAlignment="1">
      <alignment horizontal="right"/>
    </xf>
    <xf numFmtId="185" fontId="42" fillId="0" borderId="0" xfId="28" applyNumberFormat="1" applyFont="1" applyFill="1" applyBorder="1" applyAlignment="1">
      <alignment horizontal="center"/>
    </xf>
    <xf numFmtId="179" fontId="41" fillId="0" borderId="0" xfId="28" applyNumberFormat="1" applyFont="1"/>
    <xf numFmtId="43" fontId="38" fillId="0" borderId="0" xfId="77" applyNumberFormat="1" applyFont="1" applyFill="1" applyAlignment="1">
      <alignment horizontal="center" vertical="center"/>
    </xf>
    <xf numFmtId="43" fontId="38" fillId="0" borderId="0" xfId="77" applyNumberFormat="1" applyFont="1" applyFill="1" applyAlignment="1">
      <alignment horizontal="justify" vertical="center"/>
    </xf>
    <xf numFmtId="0" fontId="42" fillId="0" borderId="18" xfId="76" applyFont="1" applyBorder="1" applyAlignment="1">
      <alignment horizontal="right"/>
    </xf>
    <xf numFmtId="165" fontId="42" fillId="0" borderId="19" xfId="76" applyNumberFormat="1" applyFont="1" applyBorder="1"/>
    <xf numFmtId="10" fontId="37" fillId="0" borderId="0" xfId="82" applyNumberFormat="1" applyFont="1"/>
    <xf numFmtId="0" fontId="37" fillId="0" borderId="0" xfId="76" applyFont="1" applyAlignment="1">
      <alignment horizontal="center"/>
    </xf>
    <xf numFmtId="0" fontId="42" fillId="0" borderId="0" xfId="76" applyFont="1" applyBorder="1" applyAlignment="1">
      <alignment horizontal="right"/>
    </xf>
    <xf numFmtId="165" fontId="42" fillId="0" borderId="0" xfId="76" applyNumberFormat="1" applyFont="1" applyBorder="1"/>
    <xf numFmtId="43" fontId="40" fillId="0" borderId="0" xfId="77" applyNumberFormat="1" applyFont="1" applyFill="1" applyBorder="1" applyAlignment="1">
      <alignment horizontal="center" vertical="center"/>
    </xf>
    <xf numFmtId="179" fontId="38" fillId="0" borderId="0" xfId="77" applyNumberFormat="1" applyFont="1" applyFill="1" applyBorder="1" applyAlignment="1">
      <alignment vertical="center"/>
    </xf>
    <xf numFmtId="9" fontId="38" fillId="0" borderId="0" xfId="82" applyFont="1" applyFill="1" applyBorder="1" applyAlignment="1">
      <alignment vertical="center"/>
    </xf>
    <xf numFmtId="43" fontId="38" fillId="0" borderId="0" xfId="77" applyNumberFormat="1" applyFont="1" applyFill="1" applyBorder="1" applyAlignment="1">
      <alignment vertical="center"/>
    </xf>
    <xf numFmtId="179" fontId="40" fillId="22" borderId="20" xfId="77" applyNumberFormat="1" applyFont="1" applyFill="1" applyBorder="1" applyAlignment="1">
      <alignment horizontal="center" vertical="center" wrapText="1"/>
    </xf>
    <xf numFmtId="179" fontId="40" fillId="22" borderId="21" xfId="77" applyNumberFormat="1" applyFont="1" applyFill="1" applyBorder="1" applyAlignment="1">
      <alignment horizontal="center" vertical="center" wrapText="1"/>
    </xf>
    <xf numFmtId="179" fontId="40" fillId="22" borderId="22" xfId="77" applyNumberFormat="1" applyFont="1" applyFill="1" applyBorder="1" applyAlignment="1">
      <alignment horizontal="center" vertical="center" wrapText="1"/>
    </xf>
    <xf numFmtId="179" fontId="40" fillId="22" borderId="23" xfId="77" applyNumberFormat="1" applyFont="1" applyFill="1" applyBorder="1" applyAlignment="1">
      <alignment horizontal="center" vertical="center" wrapText="1"/>
    </xf>
    <xf numFmtId="43" fontId="38" fillId="0" borderId="0" xfId="77" applyNumberFormat="1" applyFont="1" applyFill="1" applyAlignment="1">
      <alignment horizontal="center" vertical="center" wrapText="1"/>
    </xf>
    <xf numFmtId="0" fontId="40" fillId="28" borderId="24" xfId="77" applyFont="1" applyFill="1" applyBorder="1" applyAlignment="1">
      <alignment horizontal="left" vertical="center" indent="1"/>
    </xf>
    <xf numFmtId="167" fontId="40" fillId="28" borderId="25" xfId="82" applyNumberFormat="1" applyFont="1" applyFill="1" applyBorder="1" applyAlignment="1">
      <alignment horizontal="left" vertical="center" wrapText="1" indent="1"/>
    </xf>
    <xf numFmtId="178" fontId="40" fillId="28" borderId="26" xfId="77" applyNumberFormat="1" applyFont="1" applyFill="1" applyBorder="1" applyAlignment="1">
      <alignment horizontal="left" vertical="center" wrapText="1" indent="1"/>
    </xf>
    <xf numFmtId="178" fontId="40" fillId="28" borderId="27" xfId="77" applyNumberFormat="1" applyFont="1" applyFill="1" applyBorder="1" applyAlignment="1">
      <alignment horizontal="left" vertical="center" wrapText="1" indent="1"/>
    </xf>
    <xf numFmtId="43" fontId="38" fillId="28" borderId="0" xfId="77" applyNumberFormat="1" applyFont="1" applyFill="1" applyAlignment="1">
      <alignment vertical="center" wrapText="1"/>
    </xf>
    <xf numFmtId="0" fontId="38" fillId="0" borderId="28" xfId="77" applyFont="1" applyFill="1" applyBorder="1" applyAlignment="1">
      <alignment horizontal="left" vertical="center" indent="1"/>
    </xf>
    <xf numFmtId="167" fontId="38" fillId="0" borderId="29" xfId="82" applyNumberFormat="1" applyFont="1" applyFill="1" applyBorder="1" applyAlignment="1">
      <alignment horizontal="left" vertical="center" wrapText="1" indent="1"/>
    </xf>
    <xf numFmtId="178" fontId="38" fillId="0" borderId="30" xfId="77" applyNumberFormat="1" applyFont="1" applyFill="1" applyBorder="1" applyAlignment="1">
      <alignment horizontal="left" vertical="center" wrapText="1" indent="1"/>
    </xf>
    <xf numFmtId="178" fontId="38" fillId="0" borderId="11" xfId="77" applyNumberFormat="1" applyFont="1" applyFill="1" applyBorder="1" applyAlignment="1">
      <alignment horizontal="left" vertical="center" wrapText="1" indent="1"/>
    </xf>
    <xf numFmtId="178" fontId="38" fillId="0" borderId="29" xfId="77" applyNumberFormat="1" applyFont="1" applyFill="1" applyBorder="1" applyAlignment="1">
      <alignment horizontal="left" vertical="center" wrapText="1" indent="1"/>
    </xf>
    <xf numFmtId="43" fontId="38" fillId="0" borderId="0" xfId="77" applyNumberFormat="1" applyFont="1" applyFill="1" applyBorder="1" applyAlignment="1">
      <alignment vertical="center" wrapText="1"/>
    </xf>
    <xf numFmtId="0" fontId="40" fillId="28" borderId="28" xfId="77" applyFont="1" applyFill="1" applyBorder="1" applyAlignment="1">
      <alignment horizontal="left" vertical="center" indent="1"/>
    </xf>
    <xf numFmtId="167" fontId="40" fillId="28" borderId="29" xfId="82" applyNumberFormat="1" applyFont="1" applyFill="1" applyBorder="1" applyAlignment="1">
      <alignment horizontal="left" vertical="center" wrapText="1" indent="1"/>
    </xf>
    <xf numFmtId="178" fontId="40" fillId="28" borderId="30" xfId="77" applyNumberFormat="1" applyFont="1" applyFill="1" applyBorder="1" applyAlignment="1">
      <alignment horizontal="left" vertical="center" wrapText="1" indent="1"/>
    </xf>
    <xf numFmtId="43" fontId="40" fillId="28" borderId="0" xfId="77" applyNumberFormat="1" applyFont="1" applyFill="1" applyBorder="1" applyAlignment="1">
      <alignment vertical="center" wrapText="1"/>
    </xf>
    <xf numFmtId="43" fontId="38" fillId="28" borderId="0" xfId="77" applyNumberFormat="1" applyFont="1" applyFill="1" applyAlignment="1">
      <alignment vertical="center"/>
    </xf>
    <xf numFmtId="0" fontId="40" fillId="0" borderId="31" xfId="77" applyFont="1" applyFill="1" applyBorder="1" applyAlignment="1">
      <alignment horizontal="left" vertical="center" indent="1"/>
    </xf>
    <xf numFmtId="49" fontId="40" fillId="0" borderId="32" xfId="82" applyNumberFormat="1" applyFont="1" applyFill="1" applyBorder="1" applyAlignment="1">
      <alignment horizontal="left" vertical="center" wrapText="1" indent="1"/>
    </xf>
    <xf numFmtId="178" fontId="40" fillId="0" borderId="33" xfId="77" applyNumberFormat="1" applyFont="1" applyFill="1" applyBorder="1" applyAlignment="1">
      <alignment horizontal="left" vertical="center" wrapText="1" indent="1"/>
    </xf>
    <xf numFmtId="178" fontId="40" fillId="0" borderId="34" xfId="77" applyNumberFormat="1" applyFont="1" applyFill="1" applyBorder="1" applyAlignment="1">
      <alignment horizontal="left" vertical="center" wrapText="1" indent="1"/>
    </xf>
    <xf numFmtId="178" fontId="40" fillId="0" borderId="32" xfId="77" applyNumberFormat="1" applyFont="1" applyFill="1" applyBorder="1" applyAlignment="1">
      <alignment horizontal="left" vertical="center" wrapText="1" indent="1"/>
    </xf>
    <xf numFmtId="43" fontId="40" fillId="0" borderId="0" xfId="77" applyNumberFormat="1" applyFont="1" applyFill="1" applyAlignment="1">
      <alignment vertical="center"/>
    </xf>
    <xf numFmtId="9" fontId="40" fillId="29" borderId="35" xfId="82" applyFont="1" applyFill="1" applyBorder="1" applyAlignment="1">
      <alignment horizontal="left" vertical="center" wrapText="1" indent="1"/>
    </xf>
    <xf numFmtId="43" fontId="38" fillId="29" borderId="0" xfId="77" applyNumberFormat="1" applyFont="1" applyFill="1" applyAlignment="1">
      <alignment vertical="center"/>
    </xf>
    <xf numFmtId="43" fontId="40" fillId="0" borderId="0" xfId="77" applyNumberFormat="1" applyFont="1" applyFill="1" applyAlignment="1">
      <alignment horizontal="center" vertical="center"/>
    </xf>
    <xf numFmtId="43" fontId="38" fillId="0" borderId="0" xfId="77" applyNumberFormat="1" applyFont="1" applyFill="1" applyAlignment="1">
      <alignment horizontal="left" vertical="center"/>
    </xf>
    <xf numFmtId="178" fontId="38" fillId="0" borderId="0" xfId="28" applyNumberFormat="1" applyFont="1" applyFill="1" applyAlignment="1">
      <alignment vertical="center"/>
    </xf>
    <xf numFmtId="0" fontId="37" fillId="30" borderId="0" xfId="75" applyFont="1" applyFill="1" applyAlignment="1">
      <alignment vertical="center"/>
    </xf>
    <xf numFmtId="0" fontId="38" fillId="30" borderId="0" xfId="75" applyFont="1" applyFill="1" applyAlignment="1">
      <alignment vertical="center"/>
    </xf>
    <xf numFmtId="179" fontId="39" fillId="30" borderId="0" xfId="28" applyNumberFormat="1" applyFont="1" applyFill="1" applyAlignment="1">
      <alignment vertical="center"/>
    </xf>
    <xf numFmtId="0" fontId="39" fillId="30" borderId="0" xfId="75" applyFont="1" applyFill="1" applyAlignment="1">
      <alignment vertical="center"/>
    </xf>
    <xf numFmtId="0" fontId="42" fillId="30" borderId="18" xfId="75" applyFont="1" applyFill="1" applyBorder="1" applyAlignment="1">
      <alignment horizontal="right" vertical="center"/>
    </xf>
    <xf numFmtId="187" fontId="42" fillId="30" borderId="0" xfId="28" applyNumberFormat="1" applyFont="1" applyFill="1" applyBorder="1" applyAlignment="1">
      <alignment horizontal="center" vertical="center"/>
    </xf>
    <xf numFmtId="9" fontId="42" fillId="30" borderId="40" xfId="82" applyFont="1" applyFill="1" applyBorder="1" applyAlignment="1">
      <alignment horizontal="center" vertical="center"/>
    </xf>
    <xf numFmtId="185" fontId="42" fillId="30" borderId="0" xfId="28" applyNumberFormat="1" applyFont="1" applyFill="1" applyBorder="1" applyAlignment="1">
      <alignment horizontal="center" vertical="center"/>
    </xf>
    <xf numFmtId="167" fontId="42" fillId="30" borderId="0" xfId="82" applyNumberFormat="1" applyFont="1" applyFill="1" applyBorder="1" applyAlignment="1">
      <alignment horizontal="center" vertical="center"/>
    </xf>
    <xf numFmtId="0" fontId="41" fillId="0" borderId="0" xfId="75" applyFont="1" applyAlignment="1">
      <alignment vertical="center"/>
    </xf>
    <xf numFmtId="0" fontId="41" fillId="30" borderId="0" xfId="75" applyFont="1" applyFill="1"/>
    <xf numFmtId="0" fontId="38" fillId="30" borderId="0" xfId="75" applyFont="1" applyFill="1"/>
    <xf numFmtId="179" fontId="41" fillId="30" borderId="0" xfId="28" applyNumberFormat="1" applyFont="1" applyFill="1"/>
    <xf numFmtId="0" fontId="41" fillId="0" borderId="0" xfId="75" applyFont="1"/>
    <xf numFmtId="0" fontId="42" fillId="0" borderId="0" xfId="75" applyFont="1" applyBorder="1" applyAlignment="1">
      <alignment horizontal="center"/>
    </xf>
    <xf numFmtId="0" fontId="41" fillId="29" borderId="0" xfId="75" applyFont="1" applyFill="1"/>
    <xf numFmtId="179" fontId="41" fillId="0" borderId="0" xfId="75" applyNumberFormat="1" applyFont="1" applyFill="1"/>
    <xf numFmtId="0" fontId="41" fillId="0" borderId="0" xfId="75" applyFont="1" applyFill="1"/>
    <xf numFmtId="179" fontId="41" fillId="0" borderId="0" xfId="75" applyNumberFormat="1" applyFont="1" applyFill="1" applyBorder="1" applyAlignment="1">
      <alignment horizontal="left" vertical="center" wrapText="1"/>
    </xf>
    <xf numFmtId="179" fontId="41" fillId="0" borderId="0" xfId="28" applyNumberFormat="1" applyFont="1" applyFill="1" applyBorder="1" applyAlignment="1">
      <alignment horizontal="left" vertical="center" wrapText="1"/>
    </xf>
    <xf numFmtId="186" fontId="41" fillId="0" borderId="0" xfId="75" applyNumberFormat="1" applyFont="1" applyFill="1" applyBorder="1"/>
    <xf numFmtId="179" fontId="41" fillId="0" borderId="29" xfId="75" applyNumberFormat="1" applyFont="1" applyFill="1" applyBorder="1" applyAlignment="1">
      <alignment horizontal="left" vertical="center" wrapText="1"/>
    </xf>
    <xf numFmtId="179" fontId="41" fillId="0" borderId="0" xfId="28" applyNumberFormat="1" applyFont="1" applyFill="1" applyBorder="1" applyAlignment="1">
      <alignment horizontal="center" vertical="center" wrapText="1"/>
    </xf>
    <xf numFmtId="179" fontId="41" fillId="0" borderId="0" xfId="75" quotePrefix="1" applyNumberFormat="1" applyFont="1" applyFill="1" applyBorder="1" applyAlignment="1">
      <alignment horizontal="center" vertical="center" wrapText="1"/>
    </xf>
    <xf numFmtId="179" fontId="41" fillId="0" borderId="0" xfId="75" applyNumberFormat="1" applyFont="1" applyFill="1" applyBorder="1"/>
    <xf numFmtId="0" fontId="41" fillId="0" borderId="0" xfId="75" applyFont="1" applyFill="1" applyBorder="1"/>
    <xf numFmtId="186" fontId="42" fillId="0" borderId="0" xfId="75" applyNumberFormat="1" applyFont="1" applyFill="1" applyBorder="1"/>
    <xf numFmtId="179" fontId="42" fillId="0" borderId="0" xfId="75" applyNumberFormat="1" applyFont="1" applyFill="1" applyBorder="1"/>
    <xf numFmtId="0" fontId="42" fillId="0" borderId="0" xfId="75" applyFont="1" applyFill="1" applyBorder="1"/>
    <xf numFmtId="0" fontId="42" fillId="0" borderId="0" xfId="75" applyFont="1" applyFill="1"/>
    <xf numFmtId="179" fontId="42" fillId="0" borderId="0" xfId="77" applyNumberFormat="1" applyFont="1" applyFill="1" applyBorder="1" applyAlignment="1">
      <alignment horizontal="left" vertical="center" wrapText="1"/>
    </xf>
    <xf numFmtId="0" fontId="38" fillId="0" borderId="0" xfId="75" applyFont="1"/>
    <xf numFmtId="0" fontId="41" fillId="0" borderId="0" xfId="75" applyFont="1" applyBorder="1"/>
    <xf numFmtId="179" fontId="41" fillId="0" borderId="0" xfId="75" applyNumberFormat="1" applyFont="1"/>
    <xf numFmtId="0" fontId="38" fillId="28" borderId="18" xfId="75" applyFont="1" applyFill="1" applyBorder="1" applyAlignment="1">
      <alignment horizontal="right"/>
    </xf>
    <xf numFmtId="186" fontId="41" fillId="0" borderId="0" xfId="75" applyNumberFormat="1" applyFont="1" applyBorder="1"/>
    <xf numFmtId="0" fontId="38" fillId="0" borderId="0" xfId="75" applyFont="1" applyFill="1" applyBorder="1" applyAlignment="1">
      <alignment horizontal="right"/>
    </xf>
    <xf numFmtId="10" fontId="41" fillId="0" borderId="0" xfId="82" applyNumberFormat="1" applyFont="1"/>
    <xf numFmtId="167" fontId="41" fillId="0" borderId="0" xfId="82" applyNumberFormat="1" applyFont="1"/>
    <xf numFmtId="179" fontId="38" fillId="0" borderId="0" xfId="75" applyNumberFormat="1" applyFont="1" applyFill="1" applyBorder="1" applyAlignment="1">
      <alignment horizontal="right"/>
    </xf>
    <xf numFmtId="10" fontId="41" fillId="0" borderId="0" xfId="75" applyNumberFormat="1" applyFont="1"/>
    <xf numFmtId="179" fontId="42" fillId="0" borderId="0" xfId="28" applyNumberFormat="1" applyFont="1"/>
    <xf numFmtId="184" fontId="41" fillId="0" borderId="0" xfId="75" applyNumberFormat="1" applyFont="1"/>
    <xf numFmtId="183" fontId="41" fillId="0" borderId="0" xfId="28" applyNumberFormat="1" applyFont="1"/>
    <xf numFmtId="43" fontId="38" fillId="0" borderId="0" xfId="28" applyFont="1"/>
    <xf numFmtId="0" fontId="38" fillId="0" borderId="0" xfId="75" applyFont="1" applyFill="1" applyBorder="1" applyAlignment="1">
      <alignment horizontal="left" vertical="center" wrapText="1"/>
    </xf>
    <xf numFmtId="0" fontId="45" fillId="30" borderId="0" xfId="75" applyFont="1" applyFill="1" applyAlignment="1">
      <alignment vertical="center"/>
    </xf>
    <xf numFmtId="0" fontId="46" fillId="30" borderId="0" xfId="75" applyFont="1" applyFill="1" applyAlignment="1">
      <alignment vertical="center"/>
    </xf>
    <xf numFmtId="179" fontId="47" fillId="30" borderId="0" xfId="28" applyNumberFormat="1" applyFont="1" applyFill="1" applyAlignment="1">
      <alignment vertical="center"/>
    </xf>
    <xf numFmtId="0" fontId="47" fillId="30" borderId="0" xfId="75" applyFont="1" applyFill="1" applyAlignment="1">
      <alignment vertical="center"/>
    </xf>
    <xf numFmtId="2" fontId="46" fillId="0" borderId="0" xfId="75" applyNumberFormat="1" applyFont="1" applyAlignment="1">
      <alignment vertical="center"/>
    </xf>
    <xf numFmtId="0" fontId="48" fillId="0" borderId="0" xfId="75" applyFont="1" applyAlignment="1">
      <alignment vertical="center"/>
    </xf>
    <xf numFmtId="0" fontId="48" fillId="30" borderId="0" xfId="75" applyFont="1" applyFill="1"/>
    <xf numFmtId="0" fontId="46" fillId="30" borderId="0" xfId="75" applyFont="1" applyFill="1"/>
    <xf numFmtId="179" fontId="48" fillId="30" borderId="0" xfId="28" applyNumberFormat="1" applyFont="1" applyFill="1"/>
    <xf numFmtId="2" fontId="46" fillId="0" borderId="0" xfId="75" applyNumberFormat="1" applyFont="1"/>
    <xf numFmtId="0" fontId="48" fillId="0" borderId="0" xfId="75" applyFont="1"/>
    <xf numFmtId="0" fontId="49" fillId="22" borderId="41" xfId="75" applyFont="1" applyFill="1" applyBorder="1" applyAlignment="1">
      <alignment horizontal="center"/>
    </xf>
    <xf numFmtId="0" fontId="49" fillId="22" borderId="40" xfId="75" applyFont="1" applyFill="1" applyBorder="1" applyAlignment="1">
      <alignment horizontal="center"/>
    </xf>
    <xf numFmtId="0" fontId="49" fillId="22" borderId="42" xfId="75" applyFont="1" applyFill="1" applyBorder="1" applyAlignment="1">
      <alignment horizontal="center"/>
    </xf>
    <xf numFmtId="2" fontId="46" fillId="29" borderId="43" xfId="75" applyNumberFormat="1" applyFont="1" applyFill="1" applyBorder="1"/>
    <xf numFmtId="2" fontId="46" fillId="29" borderId="44" xfId="75" applyNumberFormat="1" applyFont="1" applyFill="1" applyBorder="1"/>
    <xf numFmtId="0" fontId="48" fillId="29" borderId="0" xfId="75" applyFont="1" applyFill="1"/>
    <xf numFmtId="2" fontId="46" fillId="0" borderId="27" xfId="75" applyNumberFormat="1" applyFont="1" applyFill="1" applyBorder="1"/>
    <xf numFmtId="2" fontId="46" fillId="0" borderId="25" xfId="75" applyNumberFormat="1" applyFont="1" applyFill="1" applyBorder="1"/>
    <xf numFmtId="0" fontId="48" fillId="0" borderId="0" xfId="75" applyFont="1" applyFill="1"/>
    <xf numFmtId="2" fontId="46" fillId="0" borderId="11" xfId="75" applyNumberFormat="1" applyFont="1" applyFill="1" applyBorder="1"/>
    <xf numFmtId="0" fontId="48" fillId="0" borderId="45" xfId="75" applyFont="1" applyFill="1" applyBorder="1"/>
    <xf numFmtId="2" fontId="46" fillId="0" borderId="29" xfId="75" applyNumberFormat="1" applyFont="1" applyFill="1" applyBorder="1"/>
    <xf numFmtId="2" fontId="46" fillId="29" borderId="11" xfId="75" applyNumberFormat="1" applyFont="1" applyFill="1" applyBorder="1"/>
    <xf numFmtId="2" fontId="46" fillId="29" borderId="29" xfId="75" applyNumberFormat="1" applyFont="1" applyFill="1" applyBorder="1"/>
    <xf numFmtId="0" fontId="48" fillId="0" borderId="0" xfId="75" applyFont="1" applyFill="1" applyBorder="1"/>
    <xf numFmtId="2" fontId="46" fillId="0" borderId="46" xfId="75" applyNumberFormat="1" applyFont="1" applyFill="1" applyBorder="1"/>
    <xf numFmtId="0" fontId="46" fillId="0" borderId="0" xfId="75" applyFont="1"/>
    <xf numFmtId="179" fontId="48" fillId="0" borderId="0" xfId="28" applyNumberFormat="1" applyFont="1"/>
    <xf numFmtId="0" fontId="46" fillId="0" borderId="0" xfId="75" applyFont="1" applyFill="1" applyBorder="1" applyAlignment="1">
      <alignment horizontal="right"/>
    </xf>
    <xf numFmtId="179" fontId="46" fillId="0" borderId="0" xfId="75" applyNumberFormat="1" applyFont="1" applyFill="1" applyBorder="1" applyAlignment="1">
      <alignment horizontal="right"/>
    </xf>
    <xf numFmtId="179" fontId="49" fillId="0" borderId="0" xfId="28" applyNumberFormat="1" applyFont="1"/>
    <xf numFmtId="183" fontId="48" fillId="0" borderId="0" xfId="28" applyNumberFormat="1" applyFont="1"/>
    <xf numFmtId="43" fontId="46" fillId="0" borderId="0" xfId="28" applyFont="1"/>
    <xf numFmtId="0" fontId="46" fillId="0" borderId="0" xfId="75" applyFont="1" applyFill="1" applyBorder="1" applyAlignment="1">
      <alignment horizontal="left" vertical="center" wrapText="1"/>
    </xf>
    <xf numFmtId="2" fontId="46" fillId="0" borderId="47" xfId="75" applyNumberFormat="1" applyFont="1" applyFill="1" applyBorder="1"/>
    <xf numFmtId="2" fontId="46" fillId="29" borderId="48" xfId="75" applyNumberFormat="1" applyFont="1" applyFill="1" applyBorder="1"/>
    <xf numFmtId="2" fontId="46" fillId="0" borderId="49" xfId="75" applyNumberFormat="1" applyFont="1" applyFill="1" applyBorder="1"/>
    <xf numFmtId="2" fontId="46" fillId="29" borderId="49" xfId="75" applyNumberFormat="1" applyFont="1" applyFill="1" applyBorder="1"/>
    <xf numFmtId="2" fontId="46" fillId="0" borderId="50" xfId="75" applyNumberFormat="1" applyFont="1" applyFill="1" applyBorder="1"/>
    <xf numFmtId="0" fontId="48" fillId="0" borderId="0" xfId="75" applyFont="1" applyBorder="1" applyAlignment="1">
      <alignment vertical="center"/>
    </xf>
    <xf numFmtId="0" fontId="48" fillId="0" borderId="0" xfId="75" applyFont="1" applyBorder="1"/>
    <xf numFmtId="0" fontId="48" fillId="29" borderId="0" xfId="75" applyFont="1" applyFill="1" applyBorder="1"/>
    <xf numFmtId="2" fontId="46" fillId="39" borderId="27" xfId="75" applyNumberFormat="1" applyFont="1" applyFill="1" applyBorder="1"/>
    <xf numFmtId="2" fontId="46" fillId="39" borderId="25" xfId="75" applyNumberFormat="1" applyFont="1" applyFill="1" applyBorder="1"/>
    <xf numFmtId="2" fontId="46" fillId="39" borderId="11" xfId="75" applyNumberFormat="1" applyFont="1" applyFill="1" applyBorder="1"/>
    <xf numFmtId="2" fontId="46" fillId="39" borderId="29" xfId="75" applyNumberFormat="1" applyFont="1" applyFill="1" applyBorder="1"/>
    <xf numFmtId="2" fontId="48" fillId="0" borderId="0" xfId="75" applyNumberFormat="1" applyFont="1" applyFill="1"/>
    <xf numFmtId="0" fontId="41" fillId="40" borderId="0" xfId="75" applyFont="1" applyFill="1"/>
    <xf numFmtId="179" fontId="42" fillId="0" borderId="0" xfId="75" applyNumberFormat="1" applyFont="1" applyFill="1" applyBorder="1" applyAlignment="1">
      <alignment horizontal="left" vertical="center" wrapText="1"/>
    </xf>
    <xf numFmtId="0" fontId="50" fillId="41" borderId="6" xfId="75" applyFont="1" applyFill="1" applyBorder="1"/>
    <xf numFmtId="2" fontId="46" fillId="42" borderId="11" xfId="75" applyNumberFormat="1" applyFont="1" applyFill="1" applyBorder="1"/>
    <xf numFmtId="187" fontId="40" fillId="30" borderId="19" xfId="28" applyNumberFormat="1" applyFont="1" applyFill="1" applyBorder="1" applyAlignment="1">
      <alignment horizontal="center" vertical="center"/>
    </xf>
    <xf numFmtId="0" fontId="40" fillId="22" borderId="51" xfId="75" applyFont="1" applyFill="1" applyBorder="1" applyAlignment="1">
      <alignment horizontal="center"/>
    </xf>
    <xf numFmtId="0" fontId="40" fillId="22" borderId="52" xfId="75" applyFont="1" applyFill="1" applyBorder="1" applyAlignment="1">
      <alignment horizontal="center" vertical="center" wrapText="1"/>
    </xf>
    <xf numFmtId="43" fontId="50" fillId="40" borderId="41" xfId="28" applyFont="1" applyFill="1" applyBorder="1" applyAlignment="1">
      <alignment vertical="center" wrapText="1"/>
    </xf>
    <xf numFmtId="178" fontId="38" fillId="41" borderId="53" xfId="28" applyNumberFormat="1" applyFont="1" applyFill="1" applyBorder="1" applyAlignment="1">
      <alignment horizontal="left" vertical="center" wrapText="1"/>
    </xf>
    <xf numFmtId="178" fontId="38" fillId="0" borderId="54" xfId="28" applyNumberFormat="1" applyFont="1" applyFill="1" applyBorder="1" applyAlignment="1">
      <alignment horizontal="left" vertical="center" wrapText="1"/>
    </xf>
    <xf numFmtId="178" fontId="38" fillId="0" borderId="25" xfId="28" quotePrefix="1" applyNumberFormat="1" applyFont="1" applyFill="1" applyBorder="1" applyAlignment="1">
      <alignment horizontal="left" vertical="center" wrapText="1"/>
    </xf>
    <xf numFmtId="178" fontId="38" fillId="43" borderId="53" xfId="28" applyNumberFormat="1" applyFont="1" applyFill="1" applyBorder="1" applyAlignment="1">
      <alignment horizontal="left" vertical="center" wrapText="1"/>
    </xf>
    <xf numFmtId="178" fontId="40" fillId="44" borderId="29" xfId="28" quotePrefix="1" applyNumberFormat="1" applyFont="1" applyFill="1" applyBorder="1" applyAlignment="1">
      <alignment horizontal="left" vertical="center" wrapText="1"/>
    </xf>
    <xf numFmtId="178" fontId="51" fillId="0" borderId="11" xfId="0" applyNumberFormat="1" applyFont="1" applyFill="1" applyBorder="1"/>
    <xf numFmtId="179" fontId="40" fillId="41" borderId="29" xfId="75" applyNumberFormat="1" applyFont="1" applyFill="1" applyBorder="1"/>
    <xf numFmtId="178" fontId="38" fillId="0" borderId="53" xfId="28" applyNumberFormat="1" applyFont="1" applyFill="1" applyBorder="1" applyAlignment="1">
      <alignment horizontal="left" vertical="center" wrapText="1"/>
    </xf>
    <xf numFmtId="178" fontId="38" fillId="41" borderId="55" xfId="28" applyNumberFormat="1" applyFont="1" applyFill="1" applyBorder="1" applyAlignment="1">
      <alignment horizontal="left" vertical="center" wrapText="1"/>
    </xf>
    <xf numFmtId="178" fontId="40" fillId="44" borderId="53" xfId="28" applyNumberFormat="1" applyFont="1" applyFill="1" applyBorder="1" applyAlignment="1">
      <alignment horizontal="left" vertical="center" wrapText="1"/>
    </xf>
    <xf numFmtId="178" fontId="40" fillId="42" borderId="53" xfId="28" applyNumberFormat="1" applyFont="1" applyFill="1" applyBorder="1" applyAlignment="1">
      <alignment horizontal="left" vertical="center" wrapText="1"/>
    </xf>
    <xf numFmtId="179" fontId="38" fillId="0" borderId="0" xfId="75" applyNumberFormat="1" applyFont="1"/>
    <xf numFmtId="10" fontId="38" fillId="0" borderId="0" xfId="82" applyNumberFormat="1" applyFont="1"/>
    <xf numFmtId="167" fontId="38" fillId="0" borderId="0" xfId="82" applyNumberFormat="1" applyFont="1"/>
    <xf numFmtId="178" fontId="38" fillId="0" borderId="55" xfId="28" applyNumberFormat="1" applyFont="1" applyFill="1" applyBorder="1" applyAlignment="1">
      <alignment horizontal="left" vertical="center" wrapText="1"/>
    </xf>
    <xf numFmtId="0" fontId="40" fillId="22" borderId="56" xfId="75" applyFont="1" applyFill="1" applyBorder="1" applyAlignment="1">
      <alignment horizontal="center"/>
    </xf>
    <xf numFmtId="0" fontId="40" fillId="22" borderId="20" xfId="75" applyFont="1" applyFill="1" applyBorder="1" applyAlignment="1">
      <alignment horizontal="center"/>
    </xf>
    <xf numFmtId="0" fontId="40" fillId="22" borderId="57" xfId="75" applyFont="1" applyFill="1" applyBorder="1" applyAlignment="1">
      <alignment horizontal="center"/>
    </xf>
    <xf numFmtId="0" fontId="40" fillId="22" borderId="58" xfId="75" applyFont="1" applyFill="1" applyBorder="1" applyAlignment="1">
      <alignment horizontal="center" vertical="center" wrapText="1"/>
    </xf>
    <xf numFmtId="0" fontId="40" fillId="22" borderId="58" xfId="75" applyFont="1" applyFill="1" applyBorder="1" applyAlignment="1">
      <alignment horizontal="center" vertical="center"/>
    </xf>
    <xf numFmtId="0" fontId="50" fillId="40" borderId="59" xfId="77" applyFont="1" applyFill="1" applyBorder="1" applyAlignment="1">
      <alignment horizontal="center" vertical="center"/>
    </xf>
    <xf numFmtId="179" fontId="40" fillId="40" borderId="54" xfId="28" quotePrefix="1" applyNumberFormat="1" applyFont="1" applyFill="1" applyBorder="1" applyAlignment="1">
      <alignment horizontal="center" vertical="center" wrapText="1"/>
    </xf>
    <xf numFmtId="0" fontId="40" fillId="40" borderId="26" xfId="77" quotePrefix="1" applyFont="1" applyFill="1" applyBorder="1" applyAlignment="1">
      <alignment horizontal="center" vertical="center" wrapText="1"/>
    </xf>
    <xf numFmtId="0" fontId="50" fillId="41" borderId="53" xfId="77" applyFont="1" applyFill="1" applyBorder="1" applyAlignment="1">
      <alignment horizontal="center" vertical="center"/>
    </xf>
    <xf numFmtId="179" fontId="38" fillId="41" borderId="53" xfId="28" applyNumberFormat="1" applyFont="1" applyFill="1" applyBorder="1" applyAlignment="1">
      <alignment vertical="center" wrapText="1"/>
    </xf>
    <xf numFmtId="179" fontId="38" fillId="41" borderId="6" xfId="28" applyNumberFormat="1" applyFont="1" applyFill="1" applyBorder="1" applyAlignment="1">
      <alignment horizontal="left" vertical="center" wrapText="1"/>
    </xf>
    <xf numFmtId="179" fontId="38" fillId="41" borderId="30" xfId="75" applyNumberFormat="1" applyFont="1" applyFill="1" applyBorder="1" applyAlignment="1">
      <alignment horizontal="left" vertical="center" wrapText="1"/>
    </xf>
    <xf numFmtId="0" fontId="46" fillId="0" borderId="60" xfId="75" applyFont="1" applyFill="1" applyBorder="1"/>
    <xf numFmtId="0" fontId="46" fillId="0" borderId="0" xfId="75" applyFont="1" applyFill="1" applyBorder="1" applyAlignment="1">
      <alignment horizontal="left" vertical="center"/>
    </xf>
    <xf numFmtId="0" fontId="46" fillId="0" borderId="61" xfId="75" applyFont="1" applyFill="1" applyBorder="1" applyAlignment="1">
      <alignment horizontal="left" vertical="center" wrapText="1"/>
    </xf>
    <xf numFmtId="179" fontId="38" fillId="0" borderId="54" xfId="28" applyNumberFormat="1" applyFont="1" applyFill="1" applyBorder="1" applyAlignment="1">
      <alignment vertical="center" wrapText="1"/>
    </xf>
    <xf numFmtId="179" fontId="38" fillId="0" borderId="1" xfId="28" applyNumberFormat="1" applyFont="1" applyFill="1" applyBorder="1" applyAlignment="1">
      <alignment horizontal="left" vertical="center" wrapText="1"/>
    </xf>
    <xf numFmtId="179" fontId="38" fillId="0" borderId="26" xfId="75" applyNumberFormat="1" applyFont="1" applyFill="1" applyBorder="1" applyAlignment="1">
      <alignment horizontal="left" vertical="center" wrapText="1"/>
    </xf>
    <xf numFmtId="179" fontId="38" fillId="0" borderId="25" xfId="75" applyNumberFormat="1" applyFont="1" applyFill="1" applyBorder="1" applyAlignment="1">
      <alignment horizontal="left" vertical="center" wrapText="1"/>
    </xf>
    <xf numFmtId="179" fontId="38" fillId="0" borderId="6" xfId="28" quotePrefix="1" applyNumberFormat="1" applyFont="1" applyFill="1" applyBorder="1" applyAlignment="1">
      <alignment horizontal="center" vertical="center" wrapText="1"/>
    </xf>
    <xf numFmtId="179" fontId="38" fillId="0" borderId="30" xfId="28" quotePrefix="1" applyNumberFormat="1" applyFont="1" applyFill="1" applyBorder="1" applyAlignment="1">
      <alignment horizontal="center" vertical="center" wrapText="1"/>
    </xf>
    <xf numFmtId="0" fontId="46" fillId="0" borderId="62" xfId="75" applyFont="1" applyFill="1" applyBorder="1" applyAlignment="1">
      <alignment horizontal="left" vertical="center" wrapText="1"/>
    </xf>
    <xf numFmtId="179" fontId="40" fillId="33" borderId="54" xfId="28" quotePrefix="1" applyNumberFormat="1" applyFont="1" applyFill="1" applyBorder="1" applyAlignment="1">
      <alignment horizontal="center" vertical="center" wrapText="1"/>
    </xf>
    <xf numFmtId="0" fontId="40" fillId="33" borderId="26" xfId="77" quotePrefix="1" applyFont="1" applyFill="1" applyBorder="1" applyAlignment="1">
      <alignment horizontal="center" vertical="center" wrapText="1"/>
    </xf>
    <xf numFmtId="0" fontId="50" fillId="43" borderId="53" xfId="77" applyFont="1" applyFill="1" applyBorder="1" applyAlignment="1">
      <alignment horizontal="center" vertical="center"/>
    </xf>
    <xf numFmtId="179" fontId="38" fillId="43" borderId="6" xfId="28" quotePrefix="1" applyNumberFormat="1" applyFont="1" applyFill="1" applyBorder="1" applyAlignment="1">
      <alignment horizontal="center" vertical="center" wrapText="1"/>
    </xf>
    <xf numFmtId="0" fontId="50" fillId="44" borderId="53" xfId="77" applyFont="1" applyFill="1" applyBorder="1" applyAlignment="1">
      <alignment horizontal="center" vertical="center"/>
    </xf>
    <xf numFmtId="179" fontId="40" fillId="44" borderId="53" xfId="28" quotePrefix="1" applyNumberFormat="1" applyFont="1" applyFill="1" applyBorder="1" applyAlignment="1">
      <alignment horizontal="center" vertical="center" wrapText="1"/>
    </xf>
    <xf numFmtId="0" fontId="40" fillId="44" borderId="30" xfId="77" quotePrefix="1" applyFont="1" applyFill="1" applyBorder="1" applyAlignment="1">
      <alignment horizontal="center" vertical="center" wrapText="1"/>
    </xf>
    <xf numFmtId="179" fontId="38" fillId="43" borderId="53" xfId="28" applyNumberFormat="1" applyFont="1" applyFill="1" applyBorder="1" applyAlignment="1">
      <alignment horizontal="center" vertical="center" wrapText="1"/>
    </xf>
    <xf numFmtId="179" fontId="38" fillId="43" borderId="30" xfId="75" quotePrefix="1" applyNumberFormat="1" applyFont="1" applyFill="1" applyBorder="1" applyAlignment="1">
      <alignment horizontal="center" vertical="center" wrapText="1"/>
    </xf>
    <xf numFmtId="0" fontId="60" fillId="45" borderId="61" xfId="0" applyFont="1" applyFill="1" applyBorder="1" applyAlignment="1">
      <alignment vertical="center" wrapText="1"/>
    </xf>
    <xf numFmtId="179" fontId="38" fillId="0" borderId="54" xfId="28" applyNumberFormat="1" applyFont="1" applyFill="1" applyBorder="1" applyAlignment="1">
      <alignment horizontal="center" vertical="center" wrapText="1"/>
    </xf>
    <xf numFmtId="179" fontId="38" fillId="0" borderId="1" xfId="28" quotePrefix="1" applyNumberFormat="1" applyFont="1" applyFill="1" applyBorder="1" applyAlignment="1">
      <alignment horizontal="center" vertical="center" wrapText="1"/>
    </xf>
    <xf numFmtId="179" fontId="38" fillId="0" borderId="26" xfId="75" quotePrefix="1" applyNumberFormat="1" applyFont="1" applyFill="1" applyBorder="1" applyAlignment="1">
      <alignment horizontal="center" vertical="center" wrapText="1"/>
    </xf>
    <xf numFmtId="0" fontId="60" fillId="45" borderId="63" xfId="0" applyFont="1" applyFill="1" applyBorder="1" applyAlignment="1">
      <alignment vertical="center" wrapText="1"/>
    </xf>
    <xf numFmtId="179" fontId="38" fillId="0" borderId="53" xfId="28" applyNumberFormat="1" applyFont="1" applyFill="1" applyBorder="1" applyAlignment="1">
      <alignment horizontal="center" vertical="center" wrapText="1"/>
    </xf>
    <xf numFmtId="179" fontId="38" fillId="0" borderId="30" xfId="75" quotePrefix="1" applyNumberFormat="1" applyFont="1" applyFill="1" applyBorder="1" applyAlignment="1">
      <alignment horizontal="center" vertical="center" wrapText="1"/>
    </xf>
    <xf numFmtId="0" fontId="60" fillId="0" borderId="64" xfId="0" applyFont="1" applyFill="1" applyBorder="1" applyAlignment="1">
      <alignment vertical="center" wrapText="1"/>
    </xf>
    <xf numFmtId="179" fontId="38" fillId="0" borderId="55" xfId="28" applyNumberFormat="1" applyFont="1" applyFill="1" applyBorder="1" applyAlignment="1">
      <alignment horizontal="center" vertical="center" wrapText="1"/>
    </xf>
    <xf numFmtId="179" fontId="38" fillId="0" borderId="65" xfId="28" quotePrefix="1" applyNumberFormat="1" applyFont="1" applyFill="1" applyBorder="1" applyAlignment="1">
      <alignment horizontal="center" vertical="center" wrapText="1"/>
    </xf>
    <xf numFmtId="179" fontId="38" fillId="0" borderId="33" xfId="75" quotePrefix="1" applyNumberFormat="1" applyFont="1" applyFill="1" applyBorder="1" applyAlignment="1">
      <alignment horizontal="center" vertical="center" wrapText="1"/>
    </xf>
    <xf numFmtId="0" fontId="50" fillId="41" borderId="53" xfId="75" applyFont="1" applyFill="1" applyBorder="1" applyAlignment="1">
      <alignment horizontal="center"/>
    </xf>
    <xf numFmtId="0" fontId="50" fillId="41" borderId="28" xfId="75" applyFont="1" applyFill="1" applyBorder="1" applyAlignment="1">
      <alignment horizontal="left"/>
    </xf>
    <xf numFmtId="0" fontId="50" fillId="41" borderId="6" xfId="75" applyFont="1" applyFill="1" applyBorder="1" applyAlignment="1">
      <alignment horizontal="center"/>
    </xf>
    <xf numFmtId="179" fontId="40" fillId="41" borderId="53" xfId="28" quotePrefix="1" applyNumberFormat="1" applyFont="1" applyFill="1" applyBorder="1" applyAlignment="1">
      <alignment horizontal="center"/>
    </xf>
    <xf numFmtId="179" fontId="40" fillId="41" borderId="30" xfId="75" applyNumberFormat="1" applyFont="1" applyFill="1" applyBorder="1"/>
    <xf numFmtId="178" fontId="40" fillId="41" borderId="63" xfId="28" applyNumberFormat="1" applyFont="1" applyFill="1" applyBorder="1"/>
    <xf numFmtId="0" fontId="46" fillId="0" borderId="60" xfId="75" applyFont="1" applyFill="1" applyBorder="1" applyAlignment="1">
      <alignment horizontal="center"/>
    </xf>
    <xf numFmtId="0" fontId="46" fillId="0" borderId="0" xfId="75" applyFont="1" applyFill="1" applyBorder="1" applyAlignment="1">
      <alignment horizontal="left"/>
    </xf>
    <xf numFmtId="0" fontId="46" fillId="0" borderId="0" xfId="75" applyFont="1" applyFill="1" applyBorder="1" applyAlignment="1">
      <alignment horizontal="center"/>
    </xf>
    <xf numFmtId="0" fontId="60" fillId="0" borderId="63" xfId="0" applyFont="1" applyFill="1" applyBorder="1" applyAlignment="1">
      <alignment vertical="center" wrapText="1"/>
    </xf>
    <xf numFmtId="0" fontId="46" fillId="0" borderId="0" xfId="75" applyFont="1" applyFill="1" applyBorder="1"/>
    <xf numFmtId="0" fontId="46" fillId="0" borderId="1" xfId="75" applyFont="1" applyFill="1" applyBorder="1"/>
    <xf numFmtId="0" fontId="50" fillId="41" borderId="59" xfId="75" applyFont="1" applyFill="1" applyBorder="1" applyAlignment="1">
      <alignment horizontal="center" vertical="center"/>
    </xf>
    <xf numFmtId="179" fontId="38" fillId="41" borderId="66" xfId="28" applyNumberFormat="1" applyFont="1" applyFill="1" applyBorder="1" applyAlignment="1">
      <alignment horizontal="left" vertical="center" wrapText="1"/>
    </xf>
    <xf numFmtId="179" fontId="38" fillId="41" borderId="20" xfId="75" applyNumberFormat="1" applyFont="1" applyFill="1" applyBorder="1" applyAlignment="1">
      <alignment horizontal="left" vertical="center" wrapText="1"/>
    </xf>
    <xf numFmtId="0" fontId="50" fillId="0" borderId="60" xfId="75" applyFont="1" applyFill="1" applyBorder="1" applyAlignment="1">
      <alignment horizontal="center" vertical="center"/>
    </xf>
    <xf numFmtId="0" fontId="50" fillId="0" borderId="0" xfId="75" applyFont="1" applyFill="1" applyBorder="1" applyAlignment="1">
      <alignment horizontal="left" vertical="center" wrapText="1"/>
    </xf>
    <xf numFmtId="0" fontId="60" fillId="0" borderId="63" xfId="0" applyFont="1" applyBorder="1" applyAlignment="1">
      <alignment vertical="top" wrapText="1"/>
    </xf>
    <xf numFmtId="179" fontId="38" fillId="0" borderId="60" xfId="28" applyNumberFormat="1" applyFont="1" applyFill="1" applyBorder="1" applyAlignment="1">
      <alignment horizontal="left" vertical="center" wrapText="1"/>
    </xf>
    <xf numFmtId="179" fontId="38" fillId="0" borderId="40" xfId="75" applyNumberFormat="1" applyFont="1" applyFill="1" applyBorder="1" applyAlignment="1">
      <alignment horizontal="left" vertical="center" wrapText="1"/>
    </xf>
    <xf numFmtId="179" fontId="38" fillId="0" borderId="64" xfId="75" applyNumberFormat="1" applyFont="1" applyFill="1" applyBorder="1" applyAlignment="1">
      <alignment horizontal="left" vertical="center" wrapText="1"/>
    </xf>
    <xf numFmtId="178" fontId="38" fillId="0" borderId="31" xfId="28" applyNumberFormat="1" applyFont="1" applyFill="1" applyBorder="1" applyAlignment="1">
      <alignment horizontal="left" vertical="center" wrapText="1"/>
    </xf>
    <xf numFmtId="0" fontId="60" fillId="0" borderId="63" xfId="0" applyFont="1" applyBorder="1"/>
    <xf numFmtId="179" fontId="40" fillId="29" borderId="59" xfId="28" quotePrefix="1" applyNumberFormat="1" applyFont="1" applyFill="1" applyBorder="1" applyAlignment="1">
      <alignment horizontal="center" vertical="center" wrapText="1"/>
    </xf>
    <xf numFmtId="0" fontId="40" fillId="29" borderId="41" xfId="77" quotePrefix="1" applyFont="1" applyFill="1" applyBorder="1" applyAlignment="1">
      <alignment horizontal="center" vertical="center" wrapText="1"/>
    </xf>
    <xf numFmtId="179" fontId="38" fillId="0" borderId="24" xfId="75" applyNumberFormat="1" applyFont="1" applyFill="1" applyBorder="1" applyAlignment="1">
      <alignment horizontal="left" vertical="center" wrapText="1"/>
    </xf>
    <xf numFmtId="178" fontId="38" fillId="0" borderId="28" xfId="28" applyNumberFormat="1" applyFont="1" applyFill="1" applyBorder="1" applyAlignment="1">
      <alignment horizontal="left" vertical="center" wrapText="1"/>
    </xf>
    <xf numFmtId="0" fontId="60" fillId="45" borderId="64" xfId="0" applyFont="1" applyFill="1" applyBorder="1" applyAlignment="1">
      <alignment vertical="center" wrapText="1"/>
    </xf>
    <xf numFmtId="179" fontId="40" fillId="22" borderId="67" xfId="28" quotePrefix="1" applyNumberFormat="1" applyFont="1" applyFill="1" applyBorder="1" applyAlignment="1">
      <alignment horizontal="center" vertical="center" wrapText="1"/>
    </xf>
    <xf numFmtId="0" fontId="40" fillId="22" borderId="18" xfId="77" quotePrefix="1" applyFont="1" applyFill="1" applyBorder="1" applyAlignment="1">
      <alignment horizontal="center" vertical="center" wrapText="1"/>
    </xf>
    <xf numFmtId="0" fontId="50" fillId="44" borderId="54" xfId="77" applyFont="1" applyFill="1" applyBorder="1" applyAlignment="1">
      <alignment horizontal="center" vertical="center"/>
    </xf>
    <xf numFmtId="179" fontId="38" fillId="44" borderId="0" xfId="28" applyNumberFormat="1" applyFont="1" applyFill="1"/>
    <xf numFmtId="0" fontId="38" fillId="44" borderId="0" xfId="75" applyFont="1" applyFill="1"/>
    <xf numFmtId="178" fontId="40" fillId="44" borderId="28" xfId="28" applyNumberFormat="1" applyFont="1" applyFill="1" applyBorder="1" applyAlignment="1">
      <alignment horizontal="left" vertical="center" wrapText="1"/>
    </xf>
    <xf numFmtId="179" fontId="38" fillId="0" borderId="0" xfId="28" applyNumberFormat="1" applyFont="1"/>
    <xf numFmtId="179" fontId="38" fillId="0" borderId="53" xfId="75" applyNumberFormat="1" applyFont="1" applyFill="1" applyBorder="1" applyAlignment="1">
      <alignment horizontal="left" vertical="center" wrapText="1"/>
    </xf>
    <xf numFmtId="0" fontId="50" fillId="44" borderId="59" xfId="77" applyFont="1" applyFill="1" applyBorder="1" applyAlignment="1">
      <alignment horizontal="center" vertical="center"/>
    </xf>
    <xf numFmtId="179" fontId="38" fillId="42" borderId="0" xfId="28" applyNumberFormat="1" applyFont="1" applyFill="1"/>
    <xf numFmtId="0" fontId="38" fillId="42" borderId="0" xfId="75" applyFont="1" applyFill="1"/>
    <xf numFmtId="179" fontId="40" fillId="42" borderId="53" xfId="77" quotePrefix="1" applyNumberFormat="1" applyFont="1" applyFill="1" applyBorder="1" applyAlignment="1">
      <alignment horizontal="left" vertical="center" wrapText="1"/>
    </xf>
    <xf numFmtId="178" fontId="40" fillId="41" borderId="53" xfId="28" applyNumberFormat="1" applyFont="1" applyFill="1" applyBorder="1" applyAlignment="1">
      <alignment horizontal="left" vertical="center" wrapText="1"/>
    </xf>
    <xf numFmtId="178" fontId="40" fillId="43" borderId="53" xfId="28" applyNumberFormat="1" applyFont="1" applyFill="1" applyBorder="1" applyAlignment="1">
      <alignment horizontal="left" vertical="center" wrapText="1"/>
    </xf>
    <xf numFmtId="178" fontId="40" fillId="41" borderId="55" xfId="28" applyNumberFormat="1" applyFont="1" applyFill="1" applyBorder="1" applyAlignment="1">
      <alignment horizontal="left" vertical="center" wrapText="1"/>
    </xf>
    <xf numFmtId="2" fontId="46" fillId="43" borderId="27" xfId="75" applyNumberFormat="1" applyFont="1" applyFill="1" applyBorder="1"/>
    <xf numFmtId="2" fontId="46" fillId="43" borderId="25" xfId="75" applyNumberFormat="1" applyFont="1" applyFill="1" applyBorder="1"/>
    <xf numFmtId="2" fontId="46" fillId="43" borderId="68" xfId="75" applyNumberFormat="1" applyFont="1" applyFill="1" applyBorder="1"/>
    <xf numFmtId="2" fontId="46" fillId="43" borderId="11" xfId="75" applyNumberFormat="1" applyFont="1" applyFill="1" applyBorder="1"/>
    <xf numFmtId="2" fontId="46" fillId="43" borderId="29" xfId="75" applyNumberFormat="1" applyFont="1" applyFill="1" applyBorder="1"/>
    <xf numFmtId="2" fontId="46" fillId="43" borderId="49" xfId="75" applyNumberFormat="1" applyFont="1" applyFill="1" applyBorder="1"/>
    <xf numFmtId="0" fontId="50" fillId="43" borderId="63" xfId="75" applyFont="1" applyFill="1" applyBorder="1"/>
    <xf numFmtId="179" fontId="50" fillId="29" borderId="59" xfId="28" quotePrefix="1" applyNumberFormat="1" applyFont="1" applyFill="1" applyBorder="1" applyAlignment="1">
      <alignment horizontal="center" vertical="center" wrapText="1"/>
    </xf>
    <xf numFmtId="0" fontId="50" fillId="29" borderId="41" xfId="77" quotePrefix="1" applyFont="1" applyFill="1" applyBorder="1" applyAlignment="1">
      <alignment horizontal="center" vertical="center" wrapText="1"/>
    </xf>
    <xf numFmtId="0" fontId="50" fillId="43" borderId="54" xfId="77" applyFont="1" applyFill="1" applyBorder="1" applyAlignment="1">
      <alignment horizontal="center" vertical="center"/>
    </xf>
    <xf numFmtId="179" fontId="50" fillId="43" borderId="54" xfId="28" quotePrefix="1" applyNumberFormat="1" applyFont="1" applyFill="1" applyBorder="1" applyAlignment="1">
      <alignment horizontal="center" vertical="center" wrapText="1"/>
    </xf>
    <xf numFmtId="0" fontId="50" fillId="43" borderId="24" xfId="77" quotePrefix="1" applyFont="1" applyFill="1" applyBorder="1" applyAlignment="1">
      <alignment horizontal="center" vertical="center" wrapText="1"/>
    </xf>
    <xf numFmtId="0" fontId="46" fillId="0" borderId="40" xfId="75" applyFont="1" applyFill="1" applyBorder="1"/>
    <xf numFmtId="179" fontId="46" fillId="0" borderId="54" xfId="28" applyNumberFormat="1" applyFont="1" applyFill="1" applyBorder="1" applyAlignment="1">
      <alignment vertical="center" wrapText="1"/>
    </xf>
    <xf numFmtId="179" fontId="46" fillId="0" borderId="1" xfId="28" applyNumberFormat="1" applyFont="1" applyFill="1" applyBorder="1" applyAlignment="1">
      <alignment horizontal="left" vertical="center" wrapText="1"/>
    </xf>
    <xf numFmtId="179" fontId="46" fillId="0" borderId="24" xfId="75" applyNumberFormat="1" applyFont="1" applyFill="1" applyBorder="1" applyAlignment="1">
      <alignment horizontal="left" vertical="center" wrapText="1"/>
    </xf>
    <xf numFmtId="179" fontId="46" fillId="0" borderId="27" xfId="28" applyNumberFormat="1" applyFont="1" applyFill="1" applyBorder="1" applyAlignment="1">
      <alignment vertical="center" wrapText="1"/>
    </xf>
    <xf numFmtId="179" fontId="46" fillId="0" borderId="27" xfId="28" applyNumberFormat="1" applyFont="1" applyFill="1" applyBorder="1" applyAlignment="1">
      <alignment horizontal="left" vertical="center" wrapText="1"/>
    </xf>
    <xf numFmtId="179" fontId="46" fillId="0" borderId="27" xfId="75" applyNumberFormat="1" applyFont="1" applyFill="1" applyBorder="1" applyAlignment="1">
      <alignment horizontal="left" vertical="center" wrapText="1"/>
    </xf>
    <xf numFmtId="179" fontId="46" fillId="0" borderId="6" xfId="28" quotePrefix="1" applyNumberFormat="1" applyFont="1" applyFill="1" applyBorder="1" applyAlignment="1">
      <alignment horizontal="center" vertical="center" wrapText="1"/>
    </xf>
    <xf numFmtId="179" fontId="46" fillId="0" borderId="28" xfId="28" quotePrefix="1" applyNumberFormat="1" applyFont="1" applyFill="1" applyBorder="1" applyAlignment="1">
      <alignment horizontal="center" vertical="center" wrapText="1"/>
    </xf>
    <xf numFmtId="179" fontId="46" fillId="0" borderId="42" xfId="28" quotePrefix="1" applyNumberFormat="1" applyFont="1" applyFill="1" applyBorder="1" applyAlignment="1">
      <alignment horizontal="center" vertical="center" wrapText="1"/>
    </xf>
    <xf numFmtId="179" fontId="46" fillId="0" borderId="63" xfId="28" applyNumberFormat="1" applyFont="1" applyFill="1" applyBorder="1" applyAlignment="1">
      <alignment horizontal="center" vertical="center" wrapText="1"/>
    </xf>
    <xf numFmtId="179" fontId="46" fillId="0" borderId="28" xfId="75" quotePrefix="1" applyNumberFormat="1" applyFont="1" applyFill="1" applyBorder="1" applyAlignment="1">
      <alignment horizontal="center" vertical="center" wrapText="1"/>
    </xf>
    <xf numFmtId="0" fontId="50" fillId="43" borderId="53" xfId="75" applyFont="1" applyFill="1" applyBorder="1" applyAlignment="1">
      <alignment horizontal="center"/>
    </xf>
    <xf numFmtId="0" fontId="50" fillId="43" borderId="28" xfId="75" applyFont="1" applyFill="1" applyBorder="1" applyAlignment="1">
      <alignment horizontal="left"/>
    </xf>
    <xf numFmtId="0" fontId="50" fillId="43" borderId="6" xfId="75" applyFont="1" applyFill="1" applyBorder="1" applyAlignment="1">
      <alignment horizontal="center"/>
    </xf>
    <xf numFmtId="179" fontId="50" fillId="43" borderId="54" xfId="28" quotePrefix="1" applyNumberFormat="1" applyFont="1" applyFill="1" applyBorder="1" applyAlignment="1">
      <alignment horizontal="center"/>
    </xf>
    <xf numFmtId="179" fontId="50" fillId="43" borderId="24" xfId="75" applyNumberFormat="1" applyFont="1" applyFill="1" applyBorder="1"/>
    <xf numFmtId="179" fontId="46" fillId="0" borderId="54" xfId="28" quotePrefix="1" applyNumberFormat="1" applyFont="1" applyFill="1" applyBorder="1" applyAlignment="1">
      <alignment horizontal="center"/>
    </xf>
    <xf numFmtId="179" fontId="46" fillId="0" borderId="24" xfId="75" applyNumberFormat="1" applyFont="1" applyFill="1" applyBorder="1"/>
    <xf numFmtId="179" fontId="50" fillId="0" borderId="53" xfId="28" quotePrefix="1" applyNumberFormat="1" applyFont="1" applyFill="1" applyBorder="1" applyAlignment="1">
      <alignment horizontal="center"/>
    </xf>
    <xf numFmtId="179" fontId="46" fillId="0" borderId="28" xfId="75" quotePrefix="1" applyNumberFormat="1" applyFont="1" applyFill="1" applyBorder="1" applyAlignment="1">
      <alignment horizontal="center"/>
    </xf>
    <xf numFmtId="0" fontId="50" fillId="43" borderId="59" xfId="75" applyFont="1" applyFill="1" applyBorder="1" applyAlignment="1">
      <alignment horizontal="center" vertical="center"/>
    </xf>
    <xf numFmtId="179" fontId="50" fillId="43" borderId="59" xfId="28" quotePrefix="1" applyNumberFormat="1" applyFont="1" applyFill="1" applyBorder="1" applyAlignment="1">
      <alignment horizontal="center" vertical="center" wrapText="1"/>
    </xf>
    <xf numFmtId="179" fontId="50" fillId="43" borderId="41" xfId="75" applyNumberFormat="1" applyFont="1" applyFill="1" applyBorder="1" applyAlignment="1">
      <alignment horizontal="left" vertical="center" wrapText="1"/>
    </xf>
    <xf numFmtId="179" fontId="50" fillId="0" borderId="54" xfId="28" quotePrefix="1" applyNumberFormat="1" applyFont="1" applyFill="1" applyBorder="1" applyAlignment="1">
      <alignment horizontal="center" vertical="center" wrapText="1"/>
    </xf>
    <xf numFmtId="179" fontId="50" fillId="0" borderId="24" xfId="75" applyNumberFormat="1" applyFont="1" applyFill="1" applyBorder="1" applyAlignment="1">
      <alignment horizontal="left" vertical="center" wrapText="1"/>
    </xf>
    <xf numFmtId="179" fontId="46" fillId="0" borderId="53" xfId="28" applyNumberFormat="1" applyFont="1" applyFill="1" applyBorder="1" applyAlignment="1">
      <alignment horizontal="left" vertical="center" wrapText="1"/>
    </xf>
    <xf numFmtId="179" fontId="46" fillId="0" borderId="28" xfId="75" applyNumberFormat="1" applyFont="1" applyFill="1" applyBorder="1" applyAlignment="1">
      <alignment horizontal="left" vertical="center" wrapText="1"/>
    </xf>
    <xf numFmtId="179" fontId="46" fillId="0" borderId="66" xfId="28" applyNumberFormat="1" applyFont="1" applyFill="1" applyBorder="1" applyAlignment="1">
      <alignment horizontal="left" vertical="center" wrapText="1"/>
    </xf>
    <xf numFmtId="179" fontId="46" fillId="0" borderId="42" xfId="75" applyNumberFormat="1" applyFont="1" applyFill="1" applyBorder="1" applyAlignment="1">
      <alignment horizontal="left" vertical="center" wrapText="1"/>
    </xf>
    <xf numFmtId="179" fontId="46" fillId="0" borderId="60" xfId="28" applyNumberFormat="1" applyFont="1" applyFill="1" applyBorder="1" applyAlignment="1">
      <alignment horizontal="left" vertical="center" wrapText="1"/>
    </xf>
    <xf numFmtId="179" fontId="46" fillId="0" borderId="40" xfId="75" applyNumberFormat="1" applyFont="1" applyFill="1" applyBorder="1" applyAlignment="1">
      <alignment horizontal="left" vertical="center" wrapText="1"/>
    </xf>
    <xf numFmtId="0" fontId="50" fillId="29" borderId="56" xfId="77" quotePrefix="1" applyFont="1" applyFill="1" applyBorder="1" applyAlignment="1">
      <alignment horizontal="center" vertical="center" wrapText="1"/>
    </xf>
    <xf numFmtId="179" fontId="46" fillId="0" borderId="26" xfId="75" applyNumberFormat="1" applyFont="1" applyFill="1" applyBorder="1" applyAlignment="1">
      <alignment horizontal="left" vertical="center" wrapText="1"/>
    </xf>
    <xf numFmtId="179" fontId="50" fillId="22" borderId="67" xfId="28" quotePrefix="1" applyNumberFormat="1" applyFont="1" applyFill="1" applyBorder="1" applyAlignment="1">
      <alignment horizontal="center" vertical="center" wrapText="1"/>
    </xf>
    <xf numFmtId="0" fontId="50" fillId="22" borderId="69" xfId="77" quotePrefix="1" applyFont="1" applyFill="1" applyBorder="1" applyAlignment="1">
      <alignment horizontal="center" vertical="center" wrapText="1"/>
    </xf>
    <xf numFmtId="179" fontId="46" fillId="0" borderId="0" xfId="28" applyNumberFormat="1" applyFont="1"/>
    <xf numFmtId="0" fontId="50" fillId="0" borderId="60" xfId="75" applyFont="1" applyFill="1" applyBorder="1" applyAlignment="1">
      <alignment horizontal="center"/>
    </xf>
    <xf numFmtId="0" fontId="50" fillId="0" borderId="0" xfId="75" applyFont="1" applyFill="1" applyBorder="1" applyAlignment="1">
      <alignment horizontal="left"/>
    </xf>
    <xf numFmtId="0" fontId="50" fillId="0" borderId="0" xfId="75" applyFont="1" applyFill="1" applyBorder="1" applyAlignment="1">
      <alignment horizontal="center"/>
    </xf>
    <xf numFmtId="0" fontId="48" fillId="0" borderId="0" xfId="75" applyFont="1" applyAlignment="1">
      <alignment horizontal="center"/>
    </xf>
    <xf numFmtId="0" fontId="50" fillId="46" borderId="36" xfId="75" applyNumberFormat="1" applyFont="1" applyFill="1" applyBorder="1" applyAlignment="1">
      <alignment horizontal="center"/>
    </xf>
    <xf numFmtId="0" fontId="50" fillId="46" borderId="47" xfId="75" applyNumberFormat="1" applyFont="1" applyFill="1" applyBorder="1" applyAlignment="1">
      <alignment horizontal="center"/>
    </xf>
    <xf numFmtId="0" fontId="50" fillId="47" borderId="36" xfId="75" applyNumberFormat="1" applyFont="1" applyFill="1" applyBorder="1" applyAlignment="1">
      <alignment horizontal="center"/>
    </xf>
    <xf numFmtId="0" fontId="50" fillId="47" borderId="47" xfId="75" applyNumberFormat="1" applyFont="1" applyFill="1" applyBorder="1" applyAlignment="1">
      <alignment horizontal="center"/>
    </xf>
    <xf numFmtId="0" fontId="50" fillId="48" borderId="36" xfId="75" applyNumberFormat="1" applyFont="1" applyFill="1" applyBorder="1" applyAlignment="1">
      <alignment horizontal="center"/>
    </xf>
    <xf numFmtId="0" fontId="50" fillId="48" borderId="47" xfId="75" applyNumberFormat="1" applyFont="1" applyFill="1" applyBorder="1" applyAlignment="1">
      <alignment horizontal="center"/>
    </xf>
    <xf numFmtId="0" fontId="50" fillId="46" borderId="46" xfId="75" applyNumberFormat="1" applyFont="1" applyFill="1" applyBorder="1" applyAlignment="1">
      <alignment horizontal="center"/>
    </xf>
    <xf numFmtId="0" fontId="50" fillId="49" borderId="46" xfId="75" applyNumberFormat="1" applyFont="1" applyFill="1" applyBorder="1" applyAlignment="1">
      <alignment horizontal="center"/>
    </xf>
    <xf numFmtId="0" fontId="50" fillId="49" borderId="47" xfId="75" applyNumberFormat="1" applyFont="1" applyFill="1" applyBorder="1" applyAlignment="1">
      <alignment horizontal="center"/>
    </xf>
    <xf numFmtId="0" fontId="50" fillId="50" borderId="47" xfId="75" applyNumberFormat="1" applyFont="1" applyFill="1" applyBorder="1" applyAlignment="1">
      <alignment horizontal="center"/>
    </xf>
    <xf numFmtId="0" fontId="50" fillId="50" borderId="46" xfId="75" applyNumberFormat="1" applyFont="1" applyFill="1" applyBorder="1" applyAlignment="1">
      <alignment horizontal="center"/>
    </xf>
    <xf numFmtId="0" fontId="48" fillId="0" borderId="11" xfId="75" applyFont="1" applyFill="1" applyBorder="1"/>
    <xf numFmtId="2" fontId="46" fillId="51" borderId="11" xfId="75" applyNumberFormat="1" applyFont="1" applyFill="1" applyBorder="1"/>
    <xf numFmtId="2" fontId="46" fillId="51" borderId="29" xfId="75" applyNumberFormat="1" applyFont="1" applyFill="1" applyBorder="1"/>
    <xf numFmtId="2" fontId="46" fillId="52" borderId="11" xfId="75" applyNumberFormat="1" applyFont="1" applyFill="1" applyBorder="1"/>
    <xf numFmtId="2" fontId="61" fillId="52" borderId="29" xfId="75" applyNumberFormat="1" applyFont="1" applyFill="1" applyBorder="1"/>
    <xf numFmtId="2" fontId="46" fillId="52" borderId="29" xfId="75" applyNumberFormat="1" applyFont="1" applyFill="1" applyBorder="1"/>
    <xf numFmtId="179" fontId="47" fillId="30" borderId="0" xfId="95" applyNumberFormat="1" applyFont="1" applyFill="1" applyAlignment="1">
      <alignment vertical="center"/>
    </xf>
    <xf numFmtId="179" fontId="48" fillId="30" borderId="0" xfId="95" applyNumberFormat="1" applyFont="1" applyFill="1"/>
    <xf numFmtId="0" fontId="50" fillId="40" borderId="59" xfId="78" applyFont="1" applyFill="1" applyBorder="1" applyAlignment="1">
      <alignment horizontal="center" vertical="center"/>
    </xf>
    <xf numFmtId="179" fontId="50" fillId="29" borderId="59" xfId="95" quotePrefix="1" applyNumberFormat="1" applyFont="1" applyFill="1" applyBorder="1" applyAlignment="1">
      <alignment horizontal="center" vertical="center" wrapText="1"/>
    </xf>
    <xf numFmtId="0" fontId="50" fillId="29" borderId="41" xfId="78" quotePrefix="1" applyFont="1" applyFill="1" applyBorder="1" applyAlignment="1">
      <alignment horizontal="center" vertical="center" wrapText="1"/>
    </xf>
    <xf numFmtId="0" fontId="50" fillId="43" borderId="54" xfId="78" applyFont="1" applyFill="1" applyBorder="1" applyAlignment="1">
      <alignment horizontal="center" vertical="center"/>
    </xf>
    <xf numFmtId="179" fontId="50" fillId="43" borderId="54" xfId="95" quotePrefix="1" applyNumberFormat="1" applyFont="1" applyFill="1" applyBorder="1" applyAlignment="1">
      <alignment horizontal="center" vertical="center" wrapText="1"/>
    </xf>
    <xf numFmtId="0" fontId="50" fillId="43" borderId="24" xfId="78" quotePrefix="1" applyFont="1" applyFill="1" applyBorder="1" applyAlignment="1">
      <alignment horizontal="center" vertical="center" wrapText="1"/>
    </xf>
    <xf numFmtId="179" fontId="46" fillId="0" borderId="54" xfId="95" applyNumberFormat="1" applyFont="1" applyFill="1" applyBorder="1" applyAlignment="1">
      <alignment vertical="center" wrapText="1"/>
    </xf>
    <xf numFmtId="179" fontId="46" fillId="0" borderId="1" xfId="95" applyNumberFormat="1" applyFont="1" applyFill="1" applyBorder="1" applyAlignment="1">
      <alignment horizontal="left" vertical="center" wrapText="1"/>
    </xf>
    <xf numFmtId="179" fontId="46" fillId="0" borderId="27" xfId="95" applyNumberFormat="1" applyFont="1" applyFill="1" applyBorder="1" applyAlignment="1">
      <alignment vertical="center" wrapText="1"/>
    </xf>
    <xf numFmtId="179" fontId="46" fillId="0" borderId="27" xfId="95" applyNumberFormat="1" applyFont="1" applyFill="1" applyBorder="1" applyAlignment="1">
      <alignment horizontal="left" vertical="center" wrapText="1"/>
    </xf>
    <xf numFmtId="179" fontId="46" fillId="0" borderId="6" xfId="95" quotePrefix="1" applyNumberFormat="1" applyFont="1" applyFill="1" applyBorder="1" applyAlignment="1">
      <alignment horizontal="center" vertical="center" wrapText="1"/>
    </xf>
    <xf numFmtId="179" fontId="46" fillId="0" borderId="28" xfId="95" quotePrefix="1" applyNumberFormat="1" applyFont="1" applyFill="1" applyBorder="1" applyAlignment="1">
      <alignment horizontal="center" vertical="center" wrapText="1"/>
    </xf>
    <xf numFmtId="179" fontId="46" fillId="0" borderId="63" xfId="95" applyNumberFormat="1" applyFont="1" applyFill="1" applyBorder="1" applyAlignment="1">
      <alignment horizontal="center" vertical="center" wrapText="1"/>
    </xf>
    <xf numFmtId="179" fontId="50" fillId="43" borderId="54" xfId="95" quotePrefix="1" applyNumberFormat="1" applyFont="1" applyFill="1" applyBorder="1" applyAlignment="1">
      <alignment horizontal="center"/>
    </xf>
    <xf numFmtId="179" fontId="46" fillId="0" borderId="42" xfId="95" quotePrefix="1" applyNumberFormat="1" applyFont="1" applyFill="1" applyBorder="1" applyAlignment="1">
      <alignment horizontal="center" vertical="center" wrapText="1"/>
    </xf>
    <xf numFmtId="179" fontId="46" fillId="0" borderId="54" xfId="95" quotePrefix="1" applyNumberFormat="1" applyFont="1" applyFill="1" applyBorder="1" applyAlignment="1">
      <alignment horizontal="center"/>
    </xf>
    <xf numFmtId="179" fontId="50" fillId="0" borderId="53" xfId="95" quotePrefix="1" applyNumberFormat="1" applyFont="1" applyFill="1" applyBorder="1" applyAlignment="1">
      <alignment horizontal="center"/>
    </xf>
    <xf numFmtId="179" fontId="50" fillId="43" borderId="59" xfId="95" quotePrefix="1" applyNumberFormat="1" applyFont="1" applyFill="1" applyBorder="1" applyAlignment="1">
      <alignment horizontal="center" vertical="center" wrapText="1"/>
    </xf>
    <xf numFmtId="179" fontId="50" fillId="0" borderId="54" xfId="95" quotePrefix="1" applyNumberFormat="1" applyFont="1" applyFill="1" applyBorder="1" applyAlignment="1">
      <alignment horizontal="center" vertical="center" wrapText="1"/>
    </xf>
    <xf numFmtId="179" fontId="46" fillId="0" borderId="53" xfId="95" applyNumberFormat="1" applyFont="1" applyFill="1" applyBorder="1" applyAlignment="1">
      <alignment horizontal="left" vertical="center" wrapText="1"/>
    </xf>
    <xf numFmtId="179" fontId="46" fillId="0" borderId="66" xfId="95" applyNumberFormat="1" applyFont="1" applyFill="1" applyBorder="1" applyAlignment="1">
      <alignment horizontal="left" vertical="center" wrapText="1"/>
    </xf>
    <xf numFmtId="179" fontId="46" fillId="0" borderId="60" xfId="95" applyNumberFormat="1" applyFont="1" applyFill="1" applyBorder="1" applyAlignment="1">
      <alignment horizontal="left" vertical="center" wrapText="1"/>
    </xf>
    <xf numFmtId="0" fontId="50" fillId="29" borderId="56" xfId="78" quotePrefix="1" applyFont="1" applyFill="1" applyBorder="1" applyAlignment="1">
      <alignment horizontal="center" vertical="center" wrapText="1"/>
    </xf>
    <xf numFmtId="179" fontId="46" fillId="0" borderId="0" xfId="95" applyNumberFormat="1" applyFont="1"/>
    <xf numFmtId="179" fontId="48" fillId="0" borderId="0" xfId="95" applyNumberFormat="1" applyFont="1"/>
    <xf numFmtId="179" fontId="49" fillId="0" borderId="0" xfId="95" applyNumberFormat="1" applyFont="1"/>
    <xf numFmtId="183" fontId="48" fillId="0" borderId="0" xfId="95" applyNumberFormat="1" applyFont="1"/>
    <xf numFmtId="43" fontId="46" fillId="0" borderId="0" xfId="95" applyFont="1"/>
    <xf numFmtId="2" fontId="46" fillId="0" borderId="11" xfId="75" applyNumberFormat="1" applyFont="1" applyBorder="1"/>
    <xf numFmtId="179" fontId="50" fillId="51" borderId="67" xfId="95" quotePrefix="1" applyNumberFormat="1" applyFont="1" applyFill="1" applyBorder="1" applyAlignment="1">
      <alignment horizontal="center" vertical="center" wrapText="1"/>
    </xf>
    <xf numFmtId="0" fontId="50" fillId="51" borderId="18" xfId="78" quotePrefix="1" applyFont="1" applyFill="1" applyBorder="1" applyAlignment="1">
      <alignment horizontal="center" vertical="center" wrapText="1"/>
    </xf>
    <xf numFmtId="0" fontId="50" fillId="40" borderId="54" xfId="78" applyFont="1" applyFill="1" applyBorder="1" applyAlignment="1">
      <alignment horizontal="center" vertical="center"/>
    </xf>
    <xf numFmtId="179" fontId="50" fillId="40" borderId="59" xfId="95" quotePrefix="1" applyNumberFormat="1" applyFont="1" applyFill="1" applyBorder="1" applyAlignment="1">
      <alignment horizontal="center" vertical="center" wrapText="1"/>
    </xf>
    <xf numFmtId="0" fontId="50" fillId="40" borderId="41" xfId="78" quotePrefix="1" applyFont="1" applyFill="1" applyBorder="1" applyAlignment="1">
      <alignment horizontal="center" vertical="center" wrapText="1"/>
    </xf>
    <xf numFmtId="2" fontId="46" fillId="40" borderId="11" xfId="75" applyNumberFormat="1" applyFont="1" applyFill="1" applyBorder="1"/>
    <xf numFmtId="2" fontId="46" fillId="40" borderId="29" xfId="75" applyNumberFormat="1" applyFont="1" applyFill="1" applyBorder="1"/>
    <xf numFmtId="2" fontId="46" fillId="40" borderId="49" xfId="75" applyNumberFormat="1" applyFont="1" applyFill="1" applyBorder="1"/>
    <xf numFmtId="2" fontId="46" fillId="40" borderId="0" xfId="75" applyNumberFormat="1" applyFont="1" applyFill="1"/>
    <xf numFmtId="0" fontId="50" fillId="50" borderId="50" xfId="75" applyNumberFormat="1" applyFont="1" applyFill="1" applyBorder="1" applyAlignment="1">
      <alignment horizontal="center"/>
    </xf>
    <xf numFmtId="43" fontId="50" fillId="40" borderId="24" xfId="28" applyFont="1" applyFill="1" applyBorder="1" applyAlignment="1">
      <alignment vertical="center" wrapText="1"/>
    </xf>
    <xf numFmtId="2" fontId="46" fillId="0" borderId="45" xfId="75" applyNumberFormat="1" applyFont="1" applyFill="1" applyBorder="1"/>
    <xf numFmtId="2" fontId="46" fillId="0" borderId="57" xfId="75" applyNumberFormat="1" applyFont="1" applyFill="1" applyBorder="1"/>
    <xf numFmtId="2" fontId="46" fillId="0" borderId="10" xfId="75" applyNumberFormat="1" applyFont="1" applyFill="1" applyBorder="1"/>
    <xf numFmtId="0" fontId="50" fillId="40" borderId="54" xfId="77" applyFont="1" applyFill="1" applyBorder="1" applyAlignment="1">
      <alignment horizontal="center" vertical="center"/>
    </xf>
    <xf numFmtId="179" fontId="50" fillId="40" borderId="59" xfId="28" quotePrefix="1" applyNumberFormat="1" applyFont="1" applyFill="1" applyBorder="1" applyAlignment="1">
      <alignment horizontal="center" vertical="center" wrapText="1"/>
    </xf>
    <xf numFmtId="0" fontId="50" fillId="40" borderId="41" xfId="77" quotePrefix="1" applyFont="1" applyFill="1" applyBorder="1" applyAlignment="1">
      <alignment horizontal="center" vertical="center" wrapText="1"/>
    </xf>
    <xf numFmtId="2" fontId="46" fillId="41" borderId="11" xfId="75" applyNumberFormat="1" applyFont="1" applyFill="1" applyBorder="1"/>
    <xf numFmtId="178" fontId="50" fillId="40" borderId="59" xfId="77" applyNumberFormat="1" applyFont="1" applyFill="1" applyBorder="1" applyAlignment="1">
      <alignment horizontal="center" vertical="center"/>
    </xf>
    <xf numFmtId="178" fontId="38" fillId="0" borderId="24" xfId="28" applyNumberFormat="1" applyFont="1" applyFill="1" applyBorder="1" applyAlignment="1">
      <alignment horizontal="left" vertical="center" wrapText="1"/>
    </xf>
    <xf numFmtId="178" fontId="40" fillId="0" borderId="11" xfId="28" applyNumberFormat="1" applyFont="1" applyFill="1" applyBorder="1"/>
    <xf numFmtId="178" fontId="38" fillId="0" borderId="11" xfId="28" applyNumberFormat="1" applyFont="1" applyFill="1" applyBorder="1"/>
    <xf numFmtId="0" fontId="40" fillId="22" borderId="70" xfId="75" applyFont="1" applyFill="1" applyBorder="1" applyAlignment="1">
      <alignment horizontal="center" vertical="center"/>
    </xf>
    <xf numFmtId="178" fontId="50" fillId="40" borderId="41" xfId="77" applyNumberFormat="1" applyFont="1" applyFill="1" applyBorder="1" applyAlignment="1">
      <alignment horizontal="center" vertical="center"/>
    </xf>
    <xf numFmtId="178" fontId="38" fillId="41" borderId="28" xfId="28" applyNumberFormat="1" applyFont="1" applyFill="1" applyBorder="1" applyAlignment="1">
      <alignment horizontal="left" vertical="center" wrapText="1"/>
    </xf>
    <xf numFmtId="178" fontId="40" fillId="41" borderId="6" xfId="28" applyNumberFormat="1" applyFont="1" applyFill="1" applyBorder="1"/>
    <xf numFmtId="179" fontId="41" fillId="0" borderId="11" xfId="75" applyNumberFormat="1" applyFont="1" applyFill="1" applyBorder="1" applyAlignment="1">
      <alignment horizontal="left" vertical="center" wrapText="1"/>
    </xf>
    <xf numFmtId="179" fontId="42" fillId="0" borderId="11" xfId="75" applyNumberFormat="1" applyFont="1" applyFill="1" applyBorder="1"/>
    <xf numFmtId="0" fontId="42" fillId="53" borderId="11" xfId="75" applyFont="1" applyFill="1" applyBorder="1" applyAlignment="1">
      <alignment horizontal="center"/>
    </xf>
    <xf numFmtId="2" fontId="41" fillId="0" borderId="11" xfId="75" applyNumberFormat="1" applyFont="1" applyFill="1" applyBorder="1"/>
    <xf numFmtId="178" fontId="41" fillId="0" borderId="0" xfId="75" applyNumberFormat="1" applyFont="1" applyFill="1"/>
    <xf numFmtId="2" fontId="48" fillId="0" borderId="0" xfId="75" applyNumberFormat="1" applyFont="1" applyFill="1" applyBorder="1"/>
    <xf numFmtId="178" fontId="40" fillId="40" borderId="53" xfId="28" applyNumberFormat="1" applyFont="1" applyFill="1" applyBorder="1" applyAlignment="1">
      <alignment horizontal="left" vertical="center" wrapText="1"/>
    </xf>
    <xf numFmtId="2" fontId="48" fillId="40" borderId="0" xfId="75" applyNumberFormat="1" applyFont="1" applyFill="1"/>
    <xf numFmtId="2" fontId="48" fillId="40" borderId="0" xfId="75" applyNumberFormat="1" applyFont="1" applyFill="1" applyBorder="1"/>
    <xf numFmtId="2" fontId="48" fillId="41" borderId="0" xfId="75" applyNumberFormat="1" applyFont="1" applyFill="1"/>
    <xf numFmtId="2" fontId="48" fillId="41" borderId="0" xfId="75" applyNumberFormat="1" applyFont="1" applyFill="1" applyBorder="1"/>
    <xf numFmtId="178" fontId="38" fillId="0" borderId="49" xfId="77" applyNumberFormat="1" applyFont="1" applyFill="1" applyBorder="1" applyAlignment="1">
      <alignment horizontal="left" vertical="center" wrapText="1" indent="1"/>
    </xf>
    <xf numFmtId="178" fontId="38" fillId="54" borderId="29" xfId="77" applyNumberFormat="1" applyFont="1" applyFill="1" applyBorder="1" applyAlignment="1">
      <alignment horizontal="left" vertical="center" wrapText="1" indent="1"/>
    </xf>
    <xf numFmtId="178" fontId="41" fillId="54" borderId="11" xfId="75" applyNumberFormat="1" applyFont="1" applyFill="1" applyBorder="1"/>
    <xf numFmtId="43" fontId="38" fillId="0" borderId="11" xfId="77" applyNumberFormat="1" applyFont="1" applyFill="1" applyBorder="1" applyAlignment="1">
      <alignment horizontal="center" vertical="center" wrapText="1"/>
    </xf>
    <xf numFmtId="43" fontId="38" fillId="0" borderId="11" xfId="77" applyNumberFormat="1" applyFont="1" applyFill="1" applyBorder="1" applyAlignment="1">
      <alignment vertical="center" wrapText="1"/>
    </xf>
    <xf numFmtId="43" fontId="40" fillId="28" borderId="11" xfId="77" applyNumberFormat="1" applyFont="1" applyFill="1" applyBorder="1" applyAlignment="1">
      <alignment vertical="center" wrapText="1"/>
    </xf>
    <xf numFmtId="43" fontId="38" fillId="0" borderId="11" xfId="77" applyNumberFormat="1" applyFont="1" applyFill="1" applyBorder="1" applyAlignment="1">
      <alignment vertical="center"/>
    </xf>
    <xf numFmtId="178" fontId="38" fillId="0" borderId="0" xfId="28" applyNumberFormat="1" applyFont="1" applyFill="1" applyBorder="1" applyAlignment="1">
      <alignment horizontal="left" vertical="center" wrapText="1"/>
    </xf>
    <xf numFmtId="178" fontId="38" fillId="41" borderId="0" xfId="28" applyNumberFormat="1" applyFont="1" applyFill="1" applyBorder="1" applyAlignment="1">
      <alignment horizontal="left" vertical="center" wrapText="1"/>
    </xf>
    <xf numFmtId="2" fontId="41" fillId="0" borderId="0" xfId="75" applyNumberFormat="1" applyFont="1" applyFill="1" applyBorder="1"/>
    <xf numFmtId="178" fontId="38" fillId="0" borderId="30" xfId="82" applyNumberFormat="1" applyFont="1" applyFill="1" applyBorder="1" applyAlignment="1">
      <alignment horizontal="left" vertical="center" wrapText="1" indent="1"/>
    </xf>
    <xf numFmtId="178" fontId="38" fillId="0" borderId="29" xfId="82" applyNumberFormat="1" applyFont="1" applyFill="1" applyBorder="1" applyAlignment="1">
      <alignment horizontal="left" vertical="center" wrapText="1" indent="1"/>
    </xf>
    <xf numFmtId="178" fontId="38" fillId="0" borderId="6" xfId="82" applyNumberFormat="1" applyFont="1" applyFill="1" applyBorder="1" applyAlignment="1">
      <alignment horizontal="left" vertical="center" wrapText="1" indent="1"/>
    </xf>
    <xf numFmtId="178" fontId="38" fillId="54" borderId="0" xfId="77" applyNumberFormat="1" applyFont="1" applyFill="1" applyBorder="1" applyAlignment="1">
      <alignment vertical="center" wrapText="1"/>
    </xf>
    <xf numFmtId="178" fontId="38" fillId="0" borderId="11" xfId="77" applyNumberFormat="1" applyFont="1" applyFill="1" applyBorder="1" applyAlignment="1">
      <alignment vertical="center"/>
    </xf>
    <xf numFmtId="178" fontId="40" fillId="0" borderId="33" xfId="82" applyNumberFormat="1" applyFont="1" applyFill="1" applyBorder="1" applyAlignment="1">
      <alignment horizontal="left" vertical="center" wrapText="1" indent="1"/>
    </xf>
    <xf numFmtId="178" fontId="40" fillId="0" borderId="32" xfId="82" applyNumberFormat="1" applyFont="1" applyFill="1" applyBorder="1" applyAlignment="1">
      <alignment horizontal="left" vertical="center" wrapText="1" indent="1"/>
    </xf>
    <xf numFmtId="178" fontId="40" fillId="0" borderId="65" xfId="82" applyNumberFormat="1" applyFont="1" applyFill="1" applyBorder="1" applyAlignment="1">
      <alignment horizontal="left" vertical="center" wrapText="1" indent="1"/>
    </xf>
    <xf numFmtId="178" fontId="40" fillId="0" borderId="0" xfId="77" applyNumberFormat="1" applyFont="1" applyFill="1" applyBorder="1" applyAlignment="1">
      <alignment horizontal="left" vertical="center" wrapText="1" indent="1"/>
    </xf>
    <xf numFmtId="178" fontId="40" fillId="0" borderId="0" xfId="77" applyNumberFormat="1" applyFont="1" applyFill="1" applyAlignment="1">
      <alignment vertical="center"/>
    </xf>
    <xf numFmtId="178" fontId="40" fillId="40" borderId="36" xfId="77" applyNumberFormat="1" applyFont="1" applyFill="1" applyBorder="1" applyAlignment="1">
      <alignment horizontal="left" vertical="center" wrapText="1" indent="1"/>
    </xf>
    <xf numFmtId="178" fontId="40" fillId="55" borderId="36" xfId="77" applyNumberFormat="1" applyFont="1" applyFill="1" applyBorder="1" applyAlignment="1">
      <alignment horizontal="left" vertical="center" wrapText="1" indent="1"/>
    </xf>
    <xf numFmtId="43" fontId="62" fillId="52" borderId="0" xfId="77" applyNumberFormat="1" applyFont="1" applyFill="1" applyAlignment="1">
      <alignment horizontal="center" vertical="center"/>
    </xf>
    <xf numFmtId="2" fontId="63" fillId="39" borderId="25" xfId="75" applyNumberFormat="1" applyFont="1" applyFill="1" applyBorder="1"/>
    <xf numFmtId="2" fontId="63" fillId="0" borderId="11" xfId="75" applyNumberFormat="1" applyFont="1" applyFill="1" applyBorder="1"/>
    <xf numFmtId="2" fontId="63" fillId="0" borderId="29" xfId="75" applyNumberFormat="1" applyFont="1" applyFill="1" applyBorder="1"/>
    <xf numFmtId="2" fontId="63" fillId="0" borderId="25" xfId="75" applyNumberFormat="1" applyFont="1" applyFill="1" applyBorder="1"/>
    <xf numFmtId="0" fontId="46" fillId="0" borderId="11" xfId="75" applyFont="1" applyBorder="1"/>
    <xf numFmtId="179" fontId="46" fillId="0" borderId="11" xfId="95" applyNumberFormat="1" applyFont="1" applyBorder="1"/>
    <xf numFmtId="188" fontId="46" fillId="0" borderId="11" xfId="75" applyNumberFormat="1" applyFont="1" applyBorder="1"/>
    <xf numFmtId="0" fontId="46" fillId="28" borderId="18" xfId="75" applyFont="1" applyFill="1" applyBorder="1" applyAlignment="1">
      <alignment horizontal="left"/>
    </xf>
    <xf numFmtId="178" fontId="38" fillId="49" borderId="11" xfId="77" applyNumberFormat="1" applyFont="1" applyFill="1" applyBorder="1" applyAlignment="1">
      <alignment horizontal="left" vertical="center" wrapText="1" indent="1"/>
    </xf>
    <xf numFmtId="178" fontId="40" fillId="49" borderId="36" xfId="77" applyNumberFormat="1" applyFont="1" applyFill="1" applyBorder="1" applyAlignment="1">
      <alignment horizontal="left" vertical="center" wrapText="1" indent="1"/>
    </xf>
    <xf numFmtId="43" fontId="38" fillId="49" borderId="11" xfId="77" applyNumberFormat="1" applyFont="1" applyFill="1" applyBorder="1" applyAlignment="1">
      <alignment vertical="center" wrapText="1"/>
    </xf>
    <xf numFmtId="43" fontId="38" fillId="49" borderId="11" xfId="77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78" fontId="25" fillId="0" borderId="0" xfId="29" applyNumberFormat="1" applyFont="1" applyBorder="1" applyAlignment="1">
      <alignment horizontal="center" vertical="center"/>
    </xf>
    <xf numFmtId="43" fontId="25" fillId="0" borderId="0" xfId="29" applyNumberFormat="1" applyFont="1" applyBorder="1" applyAlignment="1">
      <alignment vertical="center"/>
    </xf>
    <xf numFmtId="43" fontId="25" fillId="0" borderId="0" xfId="0" applyNumberFormat="1" applyFont="1" applyBorder="1" applyAlignment="1">
      <alignment vertical="center"/>
    </xf>
    <xf numFmtId="167" fontId="25" fillId="0" borderId="0" xfId="0" applyNumberFormat="1" applyFont="1" applyBorder="1" applyAlignment="1">
      <alignment horizontal="center" vertical="center"/>
    </xf>
    <xf numFmtId="43" fontId="57" fillId="0" borderId="17" xfId="0" applyNumberFormat="1" applyFont="1" applyBorder="1" applyAlignment="1">
      <alignment horizontal="center" vertical="center"/>
    </xf>
    <xf numFmtId="189" fontId="57" fillId="0" borderId="17" xfId="0" applyNumberFormat="1" applyFont="1" applyBorder="1" applyAlignment="1">
      <alignment horizontal="center" vertical="center"/>
    </xf>
    <xf numFmtId="43" fontId="17" fillId="31" borderId="27" xfId="29" applyNumberFormat="1" applyFont="1" applyFill="1" applyBorder="1" applyAlignment="1">
      <alignment horizontal="center" vertical="center"/>
    </xf>
    <xf numFmtId="43" fontId="17" fillId="31" borderId="68" xfId="29" applyNumberFormat="1" applyFont="1" applyFill="1" applyBorder="1" applyAlignment="1">
      <alignment horizontal="center" vertical="center"/>
    </xf>
    <xf numFmtId="43" fontId="17" fillId="36" borderId="11" xfId="29" applyNumberFormat="1" applyFont="1" applyFill="1" applyBorder="1" applyAlignment="1">
      <alignment horizontal="center" vertical="center" wrapText="1"/>
    </xf>
    <xf numFmtId="43" fontId="17" fillId="22" borderId="71" xfId="29" applyNumberFormat="1" applyFont="1" applyFill="1" applyBorder="1" applyAlignment="1">
      <alignment horizontal="center" vertical="center" wrapText="1"/>
    </xf>
    <xf numFmtId="0" fontId="25" fillId="37" borderId="72" xfId="0" applyFont="1" applyFill="1" applyBorder="1" applyAlignment="1">
      <alignment horizontal="center" vertical="center"/>
    </xf>
    <xf numFmtId="1" fontId="25" fillId="37" borderId="72" xfId="29" applyNumberFormat="1" applyFont="1" applyFill="1" applyBorder="1" applyAlignment="1">
      <alignment horizontal="center" vertical="center"/>
    </xf>
    <xf numFmtId="43" fontId="17" fillId="37" borderId="72" xfId="29" applyNumberFormat="1" applyFont="1" applyFill="1" applyBorder="1" applyAlignment="1">
      <alignment vertical="center"/>
    </xf>
    <xf numFmtId="43" fontId="17" fillId="37" borderId="73" xfId="29" applyNumberFormat="1" applyFont="1" applyFill="1" applyBorder="1" applyAlignment="1">
      <alignment vertical="center"/>
    </xf>
    <xf numFmtId="43" fontId="17" fillId="37" borderId="74" xfId="29" applyNumberFormat="1" applyFont="1" applyFill="1" applyBorder="1" applyAlignment="1">
      <alignment vertical="center"/>
    </xf>
    <xf numFmtId="43" fontId="17" fillId="37" borderId="75" xfId="29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32" borderId="76" xfId="0" applyFont="1" applyFill="1" applyBorder="1" applyAlignment="1">
      <alignment horizontal="center" vertical="center"/>
    </xf>
    <xf numFmtId="1" fontId="25" fillId="32" borderId="76" xfId="29" applyNumberFormat="1" applyFont="1" applyFill="1" applyBorder="1" applyAlignment="1">
      <alignment horizontal="center" vertical="center"/>
    </xf>
    <xf numFmtId="43" fontId="25" fillId="32" borderId="76" xfId="29" applyNumberFormat="1" applyFont="1" applyFill="1" applyBorder="1" applyAlignment="1">
      <alignment vertical="center"/>
    </xf>
    <xf numFmtId="43" fontId="25" fillId="32" borderId="77" xfId="29" applyNumberFormat="1" applyFont="1" applyFill="1" applyBorder="1" applyAlignment="1">
      <alignment vertical="center"/>
    </xf>
    <xf numFmtId="43" fontId="25" fillId="32" borderId="78" xfId="29" applyNumberFormat="1" applyFont="1" applyFill="1" applyBorder="1" applyAlignment="1">
      <alignment vertical="center"/>
    </xf>
    <xf numFmtId="0" fontId="25" fillId="0" borderId="76" xfId="0" applyFont="1" applyFill="1" applyBorder="1" applyAlignment="1">
      <alignment horizontal="center" vertical="center"/>
    </xf>
    <xf numFmtId="1" fontId="25" fillId="0" borderId="76" xfId="29" applyNumberFormat="1" applyFont="1" applyFill="1" applyBorder="1" applyAlignment="1">
      <alignment horizontal="center" vertical="center"/>
    </xf>
    <xf numFmtId="43" fontId="25" fillId="0" borderId="76" xfId="29" applyNumberFormat="1" applyFont="1" applyFill="1" applyBorder="1" applyAlignment="1">
      <alignment vertical="center"/>
    </xf>
    <xf numFmtId="43" fontId="25" fillId="0" borderId="77" xfId="29" applyNumberFormat="1" applyFont="1" applyFill="1" applyBorder="1" applyAlignment="1">
      <alignment vertical="center"/>
    </xf>
    <xf numFmtId="43" fontId="25" fillId="0" borderId="78" xfId="29" applyNumberFormat="1" applyFont="1" applyFill="1" applyBorder="1" applyAlignment="1">
      <alignment vertical="center"/>
    </xf>
    <xf numFmtId="43" fontId="25" fillId="0" borderId="79" xfId="29" applyNumberFormat="1" applyFont="1" applyFill="1" applyBorder="1" applyAlignment="1">
      <alignment vertical="center"/>
    </xf>
    <xf numFmtId="0" fontId="25" fillId="0" borderId="80" xfId="0" applyFont="1" applyFill="1" applyBorder="1" applyAlignment="1">
      <alignment horizontal="center" vertical="center"/>
    </xf>
    <xf numFmtId="0" fontId="17" fillId="37" borderId="76" xfId="0" applyFont="1" applyFill="1" applyBorder="1" applyAlignment="1">
      <alignment horizontal="center" vertical="center"/>
    </xf>
    <xf numFmtId="1" fontId="25" fillId="37" borderId="76" xfId="29" applyNumberFormat="1" applyFont="1" applyFill="1" applyBorder="1" applyAlignment="1">
      <alignment horizontal="center" vertical="center"/>
    </xf>
    <xf numFmtId="43" fontId="17" fillId="37" borderId="76" xfId="29" applyNumberFormat="1" applyFont="1" applyFill="1" applyBorder="1" applyAlignment="1">
      <alignment vertical="center"/>
    </xf>
    <xf numFmtId="43" fontId="17" fillId="37" borderId="77" xfId="29" applyNumberFormat="1" applyFont="1" applyFill="1" applyBorder="1" applyAlignment="1">
      <alignment vertical="center"/>
    </xf>
    <xf numFmtId="43" fontId="17" fillId="37" borderId="78" xfId="29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32" borderId="76" xfId="0" applyFont="1" applyFill="1" applyBorder="1" applyAlignment="1">
      <alignment horizontal="center" vertical="center" wrapText="1"/>
    </xf>
    <xf numFmtId="43" fontId="17" fillId="32" borderId="76" xfId="29" applyNumberFormat="1" applyFont="1" applyFill="1" applyBorder="1" applyAlignment="1">
      <alignment vertical="center"/>
    </xf>
    <xf numFmtId="0" fontId="25" fillId="0" borderId="76" xfId="0" applyFont="1" applyFill="1" applyBorder="1" applyAlignment="1">
      <alignment horizontal="center" vertical="center" wrapText="1"/>
    </xf>
    <xf numFmtId="43" fontId="25" fillId="38" borderId="76" xfId="29" applyFont="1" applyFill="1" applyBorder="1" applyAlignment="1">
      <alignment horizontal="center" vertical="center" wrapText="1"/>
    </xf>
    <xf numFmtId="43" fontId="25" fillId="38" borderId="76" xfId="29" applyNumberFormat="1" applyFont="1" applyFill="1" applyBorder="1" applyAlignment="1">
      <alignment horizontal="center" vertical="center" wrapText="1"/>
    </xf>
    <xf numFmtId="43" fontId="25" fillId="38" borderId="77" xfId="29" applyNumberFormat="1" applyFont="1" applyFill="1" applyBorder="1" applyAlignment="1">
      <alignment horizontal="center" vertical="center" wrapText="1"/>
    </xf>
    <xf numFmtId="43" fontId="25" fillId="0" borderId="0" xfId="0" applyNumberFormat="1" applyFont="1" applyFill="1" applyBorder="1" applyAlignment="1">
      <alignment vertical="center"/>
    </xf>
    <xf numFmtId="43" fontId="17" fillId="0" borderId="81" xfId="29" applyNumberFormat="1" applyFont="1" applyBorder="1" applyAlignment="1">
      <alignment vertical="center"/>
    </xf>
    <xf numFmtId="0" fontId="17" fillId="34" borderId="6" xfId="29" applyNumberFormat="1" applyFont="1" applyFill="1" applyBorder="1" applyAlignment="1">
      <alignment vertical="center"/>
    </xf>
    <xf numFmtId="0" fontId="17" fillId="34" borderId="38" xfId="29" applyNumberFormat="1" applyFont="1" applyFill="1" applyBorder="1" applyAlignment="1">
      <alignment vertical="center"/>
    </xf>
    <xf numFmtId="0" fontId="17" fillId="0" borderId="76" xfId="0" applyFont="1" applyFill="1" applyBorder="1" applyAlignment="1">
      <alignment horizontal="center" vertical="center"/>
    </xf>
    <xf numFmtId="0" fontId="25" fillId="32" borderId="77" xfId="0" applyFont="1" applyFill="1" applyBorder="1" applyAlignment="1">
      <alignment vertical="center"/>
    </xf>
    <xf numFmtId="0" fontId="25" fillId="32" borderId="82" xfId="0" applyFont="1" applyFill="1" applyBorder="1" applyAlignment="1">
      <alignment vertical="center"/>
    </xf>
    <xf numFmtId="0" fontId="25" fillId="32" borderId="83" xfId="0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vertical="center"/>
    </xf>
    <xf numFmtId="2" fontId="46" fillId="0" borderId="0" xfId="75" applyNumberFormat="1" applyFont="1" applyFill="1" applyAlignment="1">
      <alignment vertical="center"/>
    </xf>
    <xf numFmtId="2" fontId="46" fillId="0" borderId="0" xfId="75" applyNumberFormat="1" applyFont="1" applyFill="1"/>
    <xf numFmtId="0" fontId="50" fillId="0" borderId="36" xfId="75" applyNumberFormat="1" applyFont="1" applyFill="1" applyBorder="1" applyAlignment="1">
      <alignment horizontal="center"/>
    </xf>
    <xf numFmtId="2" fontId="46" fillId="0" borderId="43" xfId="75" applyNumberFormat="1" applyFont="1" applyFill="1" applyBorder="1"/>
    <xf numFmtId="0" fontId="50" fillId="0" borderId="47" xfId="75" applyNumberFormat="1" applyFont="1" applyFill="1" applyBorder="1" applyAlignment="1">
      <alignment horizontal="center"/>
    </xf>
    <xf numFmtId="2" fontId="46" fillId="0" borderId="44" xfId="75" applyNumberFormat="1" applyFont="1" applyFill="1" applyBorder="1"/>
    <xf numFmtId="0" fontId="46" fillId="0" borderId="0" xfId="75" applyFont="1" applyFill="1"/>
    <xf numFmtId="0" fontId="46" fillId="0" borderId="18" xfId="75" applyFont="1" applyFill="1" applyBorder="1" applyAlignment="1">
      <alignment horizontal="right"/>
    </xf>
    <xf numFmtId="179" fontId="46" fillId="0" borderId="0" xfId="28" applyNumberFormat="1" applyFont="1" applyFill="1"/>
    <xf numFmtId="43" fontId="64" fillId="0" borderId="76" xfId="29" applyNumberFormat="1" applyFont="1" applyFill="1" applyBorder="1" applyAlignment="1">
      <alignment vertical="center"/>
    </xf>
    <xf numFmtId="2" fontId="50" fillId="35" borderId="0" xfId="75" applyNumberFormat="1" applyFont="1" applyFill="1" applyBorder="1" applyAlignment="1">
      <alignment horizontal="center"/>
    </xf>
    <xf numFmtId="0" fontId="50" fillId="32" borderId="11" xfId="75" applyNumberFormat="1" applyFont="1" applyFill="1" applyBorder="1" applyAlignment="1">
      <alignment horizontal="center"/>
    </xf>
    <xf numFmtId="2" fontId="46" fillId="39" borderId="68" xfId="75" applyNumberFormat="1" applyFont="1" applyFill="1" applyBorder="1"/>
    <xf numFmtId="2" fontId="46" fillId="39" borderId="49" xfId="75" applyNumberFormat="1" applyFont="1" applyFill="1" applyBorder="1"/>
    <xf numFmtId="2" fontId="46" fillId="51" borderId="49" xfId="75" applyNumberFormat="1" applyFont="1" applyFill="1" applyBorder="1"/>
    <xf numFmtId="2" fontId="46" fillId="52" borderId="49" xfId="75" applyNumberFormat="1" applyFont="1" applyFill="1" applyBorder="1"/>
    <xf numFmtId="2" fontId="61" fillId="52" borderId="49" xfId="75" applyNumberFormat="1" applyFont="1" applyFill="1" applyBorder="1"/>
    <xf numFmtId="2" fontId="46" fillId="41" borderId="49" xfId="75" applyNumberFormat="1" applyFont="1" applyFill="1" applyBorder="1"/>
    <xf numFmtId="0" fontId="50" fillId="50" borderId="11" xfId="75" applyNumberFormat="1" applyFont="1" applyFill="1" applyBorder="1" applyAlignment="1">
      <alignment horizontal="center"/>
    </xf>
    <xf numFmtId="2" fontId="61" fillId="52" borderId="11" xfId="75" applyNumberFormat="1" applyFont="1" applyFill="1" applyBorder="1"/>
    <xf numFmtId="10" fontId="16" fillId="0" borderId="97" xfId="0" applyNumberFormat="1" applyFont="1" applyBorder="1" applyAlignment="1">
      <alignment horizontal="center" vertical="center"/>
    </xf>
    <xf numFmtId="0" fontId="67" fillId="0" borderId="0" xfId="0" applyFont="1"/>
    <xf numFmtId="9" fontId="67" fillId="0" borderId="0" xfId="82" applyFont="1"/>
    <xf numFmtId="0" fontId="16" fillId="0" borderId="0" xfId="0" applyFont="1"/>
    <xf numFmtId="9" fontId="69" fillId="60" borderId="11" xfId="82" applyFont="1" applyFill="1" applyBorder="1"/>
    <xf numFmtId="10" fontId="68" fillId="60" borderId="97" xfId="0" applyNumberFormat="1" applyFont="1" applyFill="1" applyBorder="1" applyAlignment="1">
      <alignment horizontal="center" vertical="center"/>
    </xf>
    <xf numFmtId="10" fontId="68" fillId="59" borderId="97" xfId="0" applyNumberFormat="1" applyFont="1" applyFill="1" applyBorder="1" applyAlignment="1">
      <alignment horizontal="center" vertical="center"/>
    </xf>
    <xf numFmtId="9" fontId="68" fillId="60" borderId="11" xfId="0" applyNumberFormat="1" applyFont="1" applyFill="1" applyBorder="1"/>
    <xf numFmtId="0" fontId="25" fillId="0" borderId="0" xfId="0" applyFont="1" applyAlignment="1">
      <alignment horizontal="center"/>
    </xf>
    <xf numFmtId="49" fontId="25" fillId="0" borderId="0" xfId="82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43" fontId="41" fillId="0" borderId="0" xfId="28" applyFont="1"/>
    <xf numFmtId="0" fontId="25" fillId="0" borderId="0" xfId="0" applyFont="1" applyBorder="1" applyAlignment="1">
      <alignment horizontal="left" vertical="center"/>
    </xf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32" borderId="76" xfId="0" applyFont="1" applyFill="1" applyBorder="1" applyAlignment="1">
      <alignment horizontal="left" vertical="center" wrapText="1"/>
    </xf>
    <xf numFmtId="43" fontId="25" fillId="0" borderId="11" xfId="28" applyFont="1" applyBorder="1" applyAlignment="1">
      <alignment vertical="center"/>
    </xf>
    <xf numFmtId="0" fontId="70" fillId="30" borderId="0" xfId="75" applyFont="1" applyFill="1" applyAlignment="1">
      <alignment vertical="center"/>
    </xf>
    <xf numFmtId="0" fontId="51" fillId="30" borderId="0" xfId="75" applyFont="1" applyFill="1" applyAlignment="1">
      <alignment vertical="center"/>
    </xf>
    <xf numFmtId="0" fontId="25" fillId="0" borderId="0" xfId="75" applyFont="1" applyAlignment="1">
      <alignment vertical="center"/>
    </xf>
    <xf numFmtId="0" fontId="71" fillId="40" borderId="68" xfId="77" applyFont="1" applyFill="1" applyBorder="1" applyAlignment="1">
      <alignment horizontal="justify" vertical="center" wrapText="1"/>
    </xf>
    <xf numFmtId="0" fontId="17" fillId="43" borderId="49" xfId="77" applyFont="1" applyFill="1" applyBorder="1" applyAlignment="1">
      <alignment horizontal="justify" vertical="center" wrapText="1"/>
    </xf>
    <xf numFmtId="0" fontId="51" fillId="59" borderId="49" xfId="75" applyFont="1" applyFill="1" applyBorder="1" applyAlignment="1">
      <alignment horizontal="justify" vertical="center" wrapText="1"/>
    </xf>
    <xf numFmtId="0" fontId="51" fillId="52" borderId="49" xfId="75" applyFont="1" applyFill="1" applyBorder="1" applyAlignment="1">
      <alignment horizontal="justify" vertical="center" wrapText="1"/>
    </xf>
    <xf numFmtId="0" fontId="71" fillId="40" borderId="49" xfId="77" applyFont="1" applyFill="1" applyBorder="1" applyAlignment="1">
      <alignment horizontal="justify" vertical="center" wrapText="1"/>
    </xf>
    <xf numFmtId="0" fontId="17" fillId="43" borderId="6" xfId="77" applyFont="1" applyFill="1" applyBorder="1" applyAlignment="1">
      <alignment horizontal="justify" vertical="center" wrapText="1"/>
    </xf>
    <xf numFmtId="0" fontId="72" fillId="52" borderId="49" xfId="0" applyFont="1" applyFill="1" applyBorder="1" applyAlignment="1">
      <alignment horizontal="justify" vertical="center" wrapText="1"/>
    </xf>
    <xf numFmtId="0" fontId="72" fillId="59" borderId="49" xfId="0" applyFont="1" applyFill="1" applyBorder="1" applyAlignment="1">
      <alignment horizontal="justify" vertical="center" wrapText="1"/>
    </xf>
    <xf numFmtId="0" fontId="72" fillId="60" borderId="49" xfId="0" applyFont="1" applyFill="1" applyBorder="1" applyAlignment="1">
      <alignment horizontal="justify" vertical="center" wrapText="1"/>
    </xf>
    <xf numFmtId="0" fontId="17" fillId="43" borderId="49" xfId="75" applyFont="1" applyFill="1" applyBorder="1" applyAlignment="1">
      <alignment horizontal="justify" vertical="center"/>
    </xf>
    <xf numFmtId="0" fontId="51" fillId="59" borderId="49" xfId="0" applyFont="1" applyFill="1" applyBorder="1" applyAlignment="1">
      <alignment horizontal="justify" vertical="center" wrapText="1"/>
    </xf>
    <xf numFmtId="0" fontId="72" fillId="56" borderId="49" xfId="0" applyFont="1" applyFill="1" applyBorder="1" applyAlignment="1">
      <alignment horizontal="justify" vertical="center" wrapText="1"/>
    </xf>
    <xf numFmtId="0" fontId="17" fillId="43" borderId="49" xfId="75" applyFont="1" applyFill="1" applyBorder="1" applyAlignment="1">
      <alignment horizontal="justify" vertical="center" wrapText="1"/>
    </xf>
    <xf numFmtId="0" fontId="72" fillId="59" borderId="49" xfId="0" applyFont="1" applyFill="1" applyBorder="1" applyAlignment="1">
      <alignment horizontal="justify" vertical="center"/>
    </xf>
    <xf numFmtId="0" fontId="72" fillId="45" borderId="49" xfId="0" applyFont="1" applyFill="1" applyBorder="1" applyAlignment="1">
      <alignment horizontal="justify" vertical="center" wrapText="1"/>
    </xf>
    <xf numFmtId="0" fontId="72" fillId="0" borderId="49" xfId="0" applyFont="1" applyBorder="1" applyAlignment="1">
      <alignment horizontal="justify" vertical="center" wrapText="1"/>
    </xf>
    <xf numFmtId="0" fontId="71" fillId="40" borderId="49" xfId="78" applyFont="1" applyFill="1" applyBorder="1" applyAlignment="1">
      <alignment horizontal="justify" vertical="center" wrapText="1"/>
    </xf>
    <xf numFmtId="0" fontId="72" fillId="59" borderId="98" xfId="0" applyFont="1" applyFill="1" applyBorder="1" applyAlignment="1">
      <alignment horizontal="justify" vertical="center" wrapText="1"/>
    </xf>
    <xf numFmtId="0" fontId="51" fillId="0" borderId="0" xfId="75" applyFont="1" applyAlignment="1">
      <alignment vertical="center"/>
    </xf>
    <xf numFmtId="0" fontId="51" fillId="0" borderId="0" xfId="75" applyFont="1" applyFill="1" applyBorder="1" applyAlignment="1">
      <alignment horizontal="right" vertical="center"/>
    </xf>
    <xf numFmtId="179" fontId="51" fillId="0" borderId="0" xfId="75" applyNumberFormat="1" applyFont="1" applyFill="1" applyBorder="1" applyAlignment="1">
      <alignment horizontal="right" vertical="center"/>
    </xf>
    <xf numFmtId="43" fontId="51" fillId="0" borderId="0" xfId="95" applyFont="1" applyAlignment="1">
      <alignment vertical="center"/>
    </xf>
    <xf numFmtId="0" fontId="51" fillId="0" borderId="0" xfId="75" applyFont="1" applyFill="1" applyBorder="1" applyAlignment="1">
      <alignment horizontal="left" vertical="center" wrapText="1"/>
    </xf>
    <xf numFmtId="43" fontId="63" fillId="0" borderId="11" xfId="28" applyFont="1" applyBorder="1"/>
    <xf numFmtId="43" fontId="46" fillId="0" borderId="11" xfId="28" applyFont="1" applyBorder="1"/>
    <xf numFmtId="0" fontId="1" fillId="0" borderId="0" xfId="0" applyFont="1" applyAlignment="1">
      <alignment vertical="center"/>
    </xf>
    <xf numFmtId="0" fontId="57" fillId="0" borderId="17" xfId="0" applyFont="1" applyBorder="1" applyAlignment="1">
      <alignment vertical="center"/>
    </xf>
    <xf numFmtId="0" fontId="17" fillId="61" borderId="0" xfId="75" applyFont="1" applyFill="1" applyBorder="1" applyAlignment="1">
      <alignment horizontal="center" vertical="center"/>
    </xf>
    <xf numFmtId="0" fontId="25" fillId="61" borderId="0" xfId="0" applyFont="1" applyFill="1" applyBorder="1" applyAlignment="1">
      <alignment vertical="center"/>
    </xf>
    <xf numFmtId="0" fontId="57" fillId="61" borderId="17" xfId="0" applyFont="1" applyFill="1" applyBorder="1" applyAlignment="1">
      <alignment vertical="center"/>
    </xf>
    <xf numFmtId="0" fontId="71" fillId="61" borderId="0" xfId="77" applyFont="1" applyFill="1" applyBorder="1" applyAlignment="1">
      <alignment horizontal="justify" vertical="center" wrapText="1"/>
    </xf>
    <xf numFmtId="0" fontId="17" fillId="61" borderId="0" xfId="77" applyFont="1" applyFill="1" applyBorder="1" applyAlignment="1">
      <alignment horizontal="justify" vertical="center" wrapText="1"/>
    </xf>
    <xf numFmtId="0" fontId="51" fillId="61" borderId="0" xfId="75" applyFont="1" applyFill="1" applyBorder="1" applyAlignment="1">
      <alignment horizontal="justify" vertical="center" wrapText="1"/>
    </xf>
    <xf numFmtId="0" fontId="60" fillId="0" borderId="99" xfId="0" applyFont="1" applyFill="1" applyBorder="1" applyAlignment="1">
      <alignment vertical="center" wrapText="1"/>
    </xf>
    <xf numFmtId="179" fontId="38" fillId="0" borderId="99" xfId="28" quotePrefix="1" applyNumberFormat="1" applyFont="1" applyFill="1" applyBorder="1" applyAlignment="1">
      <alignment horizontal="center" vertical="center" wrapText="1"/>
    </xf>
    <xf numFmtId="178" fontId="51" fillId="0" borderId="49" xfId="0" applyNumberFormat="1" applyFont="1" applyFill="1" applyBorder="1"/>
    <xf numFmtId="178" fontId="38" fillId="0" borderId="61" xfId="28" applyNumberFormat="1" applyFont="1" applyFill="1" applyBorder="1" applyAlignment="1">
      <alignment horizontal="left" vertical="center" wrapText="1"/>
    </xf>
    <xf numFmtId="178" fontId="38" fillId="0" borderId="1" xfId="28" applyNumberFormat="1" applyFont="1" applyFill="1" applyBorder="1" applyAlignment="1">
      <alignment horizontal="left" vertical="center" wrapText="1"/>
    </xf>
    <xf numFmtId="179" fontId="41" fillId="0" borderId="6" xfId="75" applyNumberFormat="1" applyFont="1" applyFill="1" applyBorder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25" fillId="0" borderId="0" xfId="75" applyFont="1" applyFill="1" applyBorder="1" applyAlignment="1">
      <alignment horizontal="right" vertical="center"/>
    </xf>
    <xf numFmtId="0" fontId="74" fillId="61" borderId="0" xfId="75" applyFont="1" applyFill="1" applyBorder="1" applyAlignment="1">
      <alignment vertical="center"/>
    </xf>
    <xf numFmtId="0" fontId="17" fillId="0" borderId="0" xfId="0" applyFont="1" applyAlignment="1">
      <alignment vertical="center"/>
    </xf>
    <xf numFmtId="43" fontId="17" fillId="61" borderId="6" xfId="75" applyNumberFormat="1" applyFont="1" applyFill="1" applyBorder="1" applyAlignment="1">
      <alignment vertical="center"/>
    </xf>
    <xf numFmtId="43" fontId="17" fillId="61" borderId="11" xfId="75" applyNumberFormat="1" applyFont="1" applyFill="1" applyBorder="1" applyAlignment="1">
      <alignment vertical="center"/>
    </xf>
    <xf numFmtId="2" fontId="17" fillId="61" borderId="11" xfId="82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7" fillId="40" borderId="49" xfId="75" applyFont="1" applyFill="1" applyBorder="1" applyAlignment="1">
      <alignment vertical="center"/>
    </xf>
    <xf numFmtId="0" fontId="17" fillId="40" borderId="6" xfId="75" applyFont="1" applyFill="1" applyBorder="1" applyAlignment="1">
      <alignment vertical="center"/>
    </xf>
    <xf numFmtId="0" fontId="17" fillId="40" borderId="38" xfId="75" applyFont="1" applyFill="1" applyBorder="1" applyAlignment="1">
      <alignment vertical="center"/>
    </xf>
    <xf numFmtId="0" fontId="17" fillId="0" borderId="49" xfId="75" applyFont="1" applyFill="1" applyBorder="1" applyAlignment="1">
      <alignment vertical="center"/>
    </xf>
    <xf numFmtId="0" fontId="25" fillId="0" borderId="0" xfId="75" applyFont="1" applyFill="1" applyAlignment="1">
      <alignment vertical="center"/>
    </xf>
    <xf numFmtId="0" fontId="51" fillId="0" borderId="0" xfId="75" applyFont="1" applyFill="1" applyAlignment="1">
      <alignment vertical="center"/>
    </xf>
    <xf numFmtId="0" fontId="78" fillId="0" borderId="0" xfId="0" applyFont="1" applyAlignment="1">
      <alignment horizontal="center" vertical="center"/>
    </xf>
    <xf numFmtId="0" fontId="51" fillId="0" borderId="0" xfId="75" applyFont="1" applyAlignment="1">
      <alignment horizontal="center" vertical="center"/>
    </xf>
    <xf numFmtId="0" fontId="17" fillId="61" borderId="6" xfId="75" applyFont="1" applyFill="1" applyBorder="1" applyAlignment="1">
      <alignment horizontal="center" vertical="center"/>
    </xf>
    <xf numFmtId="0" fontId="51" fillId="0" borderId="0" xfId="75" applyFont="1" applyFill="1" applyBorder="1" applyAlignment="1">
      <alignment horizontal="center" vertical="center"/>
    </xf>
    <xf numFmtId="43" fontId="25" fillId="0" borderId="11" xfId="28" applyFont="1" applyFill="1" applyBorder="1" applyAlignment="1">
      <alignment horizontal="center" vertical="center" wrapText="1"/>
    </xf>
    <xf numFmtId="0" fontId="81" fillId="0" borderId="68" xfId="0" applyFont="1" applyFill="1" applyBorder="1" applyAlignment="1">
      <alignment horizontal="center" vertical="center"/>
    </xf>
    <xf numFmtId="0" fontId="78" fillId="0" borderId="0" xfId="0" applyFont="1" applyAlignment="1">
      <alignment horizontal="left" vertical="center" wrapText="1"/>
    </xf>
    <xf numFmtId="0" fontId="51" fillId="0" borderId="0" xfId="75" applyFont="1" applyAlignment="1">
      <alignment vertical="center" wrapText="1"/>
    </xf>
    <xf numFmtId="0" fontId="17" fillId="61" borderId="6" xfId="75" applyFont="1" applyFill="1" applyBorder="1" applyAlignment="1">
      <alignment vertical="center" wrapText="1"/>
    </xf>
    <xf numFmtId="0" fontId="51" fillId="0" borderId="0" xfId="75" applyFont="1" applyFill="1" applyBorder="1" applyAlignment="1">
      <alignment horizontal="right" vertical="center" wrapText="1"/>
    </xf>
    <xf numFmtId="0" fontId="81" fillId="0" borderId="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191" fontId="81" fillId="0" borderId="0" xfId="0" applyNumberFormat="1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17" fillId="0" borderId="6" xfId="75" applyFont="1" applyFill="1" applyBorder="1" applyAlignment="1">
      <alignment vertical="center"/>
    </xf>
    <xf numFmtId="0" fontId="17" fillId="0" borderId="38" xfId="75" applyFont="1" applyFill="1" applyBorder="1" applyAlignment="1">
      <alignment vertical="center"/>
    </xf>
    <xf numFmtId="0" fontId="17" fillId="40" borderId="38" xfId="75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25" fillId="0" borderId="0" xfId="0" applyFont="1"/>
    <xf numFmtId="43" fontId="74" fillId="0" borderId="11" xfId="28" applyFont="1" applyBorder="1" applyAlignment="1">
      <alignment vertical="center"/>
    </xf>
    <xf numFmtId="43" fontId="80" fillId="0" borderId="0" xfId="0" applyNumberFormat="1" applyFont="1" applyAlignment="1">
      <alignment vertical="center"/>
    </xf>
    <xf numFmtId="43" fontId="85" fillId="0" borderId="11" xfId="28" applyFont="1" applyFill="1" applyBorder="1" applyAlignment="1">
      <alignment vertical="center"/>
    </xf>
    <xf numFmtId="43" fontId="74" fillId="0" borderId="27" xfId="28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86" fillId="0" borderId="11" xfId="0" applyFont="1" applyBorder="1" applyAlignment="1">
      <alignment vertical="center"/>
    </xf>
    <xf numFmtId="43" fontId="74" fillId="0" borderId="11" xfId="28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 vertical="center"/>
    </xf>
    <xf numFmtId="43" fontId="74" fillId="0" borderId="11" xfId="28" applyFont="1" applyFill="1" applyBorder="1" applyAlignment="1">
      <alignment horizontal="center" vertical="center" wrapText="1"/>
    </xf>
    <xf numFmtId="43" fontId="85" fillId="0" borderId="11" xfId="28" applyFont="1" applyFill="1" applyBorder="1" applyAlignment="1">
      <alignment horizontal="right" vertical="center" wrapText="1"/>
    </xf>
    <xf numFmtId="43" fontId="87" fillId="0" borderId="11" xfId="28" applyFont="1" applyFill="1" applyBorder="1" applyAlignment="1">
      <alignment vertical="center"/>
    </xf>
    <xf numFmtId="43" fontId="85" fillId="0" borderId="11" xfId="28" applyFont="1" applyFill="1" applyBorder="1" applyAlignment="1">
      <alignment horizontal="center" vertical="center" wrapText="1"/>
    </xf>
    <xf numFmtId="43" fontId="85" fillId="0" borderId="34" xfId="28" applyFont="1" applyBorder="1" applyAlignment="1">
      <alignment vertical="center"/>
    </xf>
    <xf numFmtId="43" fontId="87" fillId="0" borderId="11" xfId="28" applyFont="1" applyBorder="1" applyAlignment="1">
      <alignment vertical="center"/>
    </xf>
    <xf numFmtId="43" fontId="74" fillId="0" borderId="11" xfId="28" applyFont="1" applyFill="1" applyBorder="1" applyAlignment="1">
      <alignment horizontal="center" vertical="center"/>
    </xf>
    <xf numFmtId="49" fontId="89" fillId="0" borderId="0" xfId="0" applyNumberFormat="1" applyFont="1" applyAlignment="1">
      <alignment horizontal="center" vertical="center"/>
    </xf>
    <xf numFmtId="0" fontId="89" fillId="0" borderId="0" xfId="0" applyFont="1" applyBorder="1" applyAlignment="1">
      <alignment wrapText="1"/>
    </xf>
    <xf numFmtId="0" fontId="89" fillId="0" borderId="0" xfId="0" applyFont="1" applyBorder="1" applyAlignment="1"/>
    <xf numFmtId="49" fontId="89" fillId="0" borderId="0" xfId="0" applyNumberFormat="1" applyFont="1" applyAlignment="1">
      <alignment horizontal="center"/>
    </xf>
    <xf numFmtId="0" fontId="89" fillId="0" borderId="0" xfId="0" applyFont="1"/>
    <xf numFmtId="0" fontId="88" fillId="0" borderId="0" xfId="0" applyFont="1"/>
    <xf numFmtId="191" fontId="88" fillId="0" borderId="0" xfId="0" applyNumberFormat="1" applyFont="1"/>
    <xf numFmtId="0" fontId="90" fillId="0" borderId="0" xfId="0" applyFont="1" applyAlignment="1">
      <alignment wrapText="1"/>
    </xf>
    <xf numFmtId="0" fontId="90" fillId="0" borderId="0" xfId="0" applyFont="1"/>
    <xf numFmtId="0" fontId="89" fillId="0" borderId="0" xfId="0" applyFont="1" applyAlignment="1">
      <alignment wrapText="1"/>
    </xf>
    <xf numFmtId="0" fontId="89" fillId="0" borderId="0" xfId="0" applyFont="1" applyAlignment="1">
      <alignment vertical="top" wrapText="1"/>
    </xf>
    <xf numFmtId="0" fontId="89" fillId="0" borderId="0" xfId="0" applyFont="1" applyAlignment="1">
      <alignment vertical="top"/>
    </xf>
    <xf numFmtId="0" fontId="1" fillId="0" borderId="0" xfId="0" applyFont="1"/>
    <xf numFmtId="191" fontId="1" fillId="0" borderId="0" xfId="0" applyNumberFormat="1" applyFont="1"/>
    <xf numFmtId="0" fontId="8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86" fillId="0" borderId="0" xfId="0" applyFont="1" applyBorder="1" applyAlignment="1">
      <alignment horizontal="center" vertical="center"/>
    </xf>
    <xf numFmtId="9" fontId="74" fillId="0" borderId="11" xfId="82" applyFont="1" applyBorder="1" applyAlignment="1">
      <alignment horizontal="center" vertical="center"/>
    </xf>
    <xf numFmtId="192" fontId="74" fillId="0" borderId="11" xfId="28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4" fillId="61" borderId="11" xfId="75" applyFont="1" applyFill="1" applyBorder="1" applyAlignment="1">
      <alignment horizontal="justify" vertical="center" wrapText="1"/>
    </xf>
    <xf numFmtId="0" fontId="74" fillId="61" borderId="11" xfId="75" applyFont="1" applyFill="1" applyBorder="1" applyAlignment="1">
      <alignment horizontal="center" vertical="center" wrapText="1"/>
    </xf>
    <xf numFmtId="43" fontId="25" fillId="0" borderId="11" xfId="28" applyFont="1" applyBorder="1" applyAlignment="1">
      <alignment horizontal="center" vertical="center"/>
    </xf>
    <xf numFmtId="9" fontId="25" fillId="0" borderId="11" xfId="82" applyFont="1" applyBorder="1" applyAlignment="1">
      <alignment horizontal="center" vertical="center"/>
    </xf>
    <xf numFmtId="43" fontId="25" fillId="0" borderId="11" xfId="28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5" fillId="61" borderId="11" xfId="75" applyFont="1" applyFill="1" applyBorder="1" applyAlignment="1">
      <alignment horizontal="justify" vertical="center" wrapText="1"/>
    </xf>
    <xf numFmtId="0" fontId="25" fillId="61" borderId="11" xfId="75" applyFont="1" applyFill="1" applyBorder="1" applyAlignment="1">
      <alignment horizontal="center" vertical="center" wrapText="1"/>
    </xf>
    <xf numFmtId="0" fontId="25" fillId="61" borderId="11" xfId="0" applyFont="1" applyFill="1" applyBorder="1" applyAlignment="1">
      <alignment horizontal="justify" vertical="center" wrapText="1"/>
    </xf>
    <xf numFmtId="0" fontId="25" fillId="61" borderId="11" xfId="0" applyFont="1" applyFill="1" applyBorder="1" applyAlignment="1">
      <alignment horizontal="center" vertical="center" wrapText="1"/>
    </xf>
    <xf numFmtId="0" fontId="25" fillId="62" borderId="0" xfId="0" applyFont="1" applyFill="1" applyAlignment="1">
      <alignment vertical="center"/>
    </xf>
    <xf numFmtId="43" fontId="25" fillId="0" borderId="11" xfId="28" applyFont="1" applyFill="1" applyBorder="1" applyAlignment="1">
      <alignment horizontal="center" vertical="center"/>
    </xf>
    <xf numFmtId="192" fontId="25" fillId="0" borderId="11" xfId="28" applyNumberFormat="1" applyFont="1" applyFill="1" applyBorder="1" applyAlignment="1">
      <alignment horizontal="center" vertical="center"/>
    </xf>
    <xf numFmtId="0" fontId="74" fillId="0" borderId="11" xfId="75" applyFont="1" applyFill="1" applyBorder="1" applyAlignment="1">
      <alignment horizontal="justify" vertical="center" wrapText="1"/>
    </xf>
    <xf numFmtId="0" fontId="25" fillId="0" borderId="11" xfId="75" applyFont="1" applyFill="1" applyBorder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5" fillId="62" borderId="0" xfId="0" applyFont="1" applyFill="1" applyAlignment="1">
      <alignment vertical="center"/>
    </xf>
    <xf numFmtId="0" fontId="85" fillId="0" borderId="11" xfId="75" applyFont="1" applyFill="1" applyBorder="1" applyAlignment="1">
      <alignment horizontal="justify" vertical="center" wrapText="1"/>
    </xf>
    <xf numFmtId="0" fontId="85" fillId="0" borderId="11" xfId="75" applyFont="1" applyFill="1" applyBorder="1" applyAlignment="1">
      <alignment horizontal="center" vertical="center" wrapText="1"/>
    </xf>
    <xf numFmtId="43" fontId="85" fillId="0" borderId="11" xfId="28" applyFont="1" applyBorder="1" applyAlignment="1">
      <alignment horizontal="center" vertical="center"/>
    </xf>
    <xf numFmtId="9" fontId="85" fillId="0" borderId="11" xfId="82" applyFont="1" applyBorder="1" applyAlignment="1">
      <alignment horizontal="center" vertical="center"/>
    </xf>
    <xf numFmtId="192" fontId="85" fillId="0" borderId="11" xfId="28" applyNumberFormat="1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justify" vertical="center" wrapText="1"/>
    </xf>
    <xf numFmtId="0" fontId="85" fillId="0" borderId="11" xfId="0" applyFont="1" applyFill="1" applyBorder="1" applyAlignment="1">
      <alignment horizontal="center" vertical="center" wrapText="1"/>
    </xf>
    <xf numFmtId="43" fontId="85" fillId="0" borderId="11" xfId="28" applyFont="1" applyFill="1" applyBorder="1" applyAlignment="1">
      <alignment horizontal="center" vertical="center"/>
    </xf>
    <xf numFmtId="9" fontId="85" fillId="0" borderId="11" xfId="82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92" fillId="0" borderId="0" xfId="0" applyFont="1" applyFill="1" applyAlignment="1">
      <alignment vertical="center"/>
    </xf>
    <xf numFmtId="0" fontId="25" fillId="61" borderId="11" xfId="0" applyFont="1" applyFill="1" applyBorder="1" applyAlignment="1">
      <alignment horizontal="center" vertical="center"/>
    </xf>
    <xf numFmtId="0" fontId="85" fillId="61" borderId="11" xfId="0" applyFont="1" applyFill="1" applyBorder="1" applyAlignment="1">
      <alignment horizontal="justify" vertical="center" wrapText="1"/>
    </xf>
    <xf numFmtId="0" fontId="17" fillId="0" borderId="49" xfId="0" applyFont="1" applyBorder="1" applyAlignment="1">
      <alignment horizontal="center" vertical="center"/>
    </xf>
    <xf numFmtId="0" fontId="74" fillId="0" borderId="68" xfId="75" applyFont="1" applyFill="1" applyBorder="1" applyAlignment="1">
      <alignment horizontal="center" vertical="center"/>
    </xf>
    <xf numFmtId="0" fontId="74" fillId="0" borderId="27" xfId="0" applyFont="1" applyFill="1" applyBorder="1" applyAlignment="1">
      <alignment horizontal="justify" vertical="center" wrapText="1"/>
    </xf>
    <xf numFmtId="0" fontId="74" fillId="0" borderId="27" xfId="0" applyFont="1" applyFill="1" applyBorder="1" applyAlignment="1">
      <alignment horizontal="center" vertical="center" wrapText="1"/>
    </xf>
    <xf numFmtId="43" fontId="74" fillId="0" borderId="27" xfId="28" applyFont="1" applyBorder="1" applyAlignment="1">
      <alignment horizontal="center" vertical="center"/>
    </xf>
    <xf numFmtId="43" fontId="25" fillId="0" borderId="27" xfId="28" applyFont="1" applyBorder="1" applyAlignment="1">
      <alignment horizontal="center" vertical="center"/>
    </xf>
    <xf numFmtId="9" fontId="25" fillId="0" borderId="27" xfId="82" applyFont="1" applyBorder="1" applyAlignment="1">
      <alignment horizontal="center" vertical="center"/>
    </xf>
    <xf numFmtId="43" fontId="25" fillId="0" borderId="27" xfId="28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0" fontId="25" fillId="0" borderId="11" xfId="0" applyFont="1" applyFill="1" applyBorder="1" applyAlignment="1">
      <alignment horizontal="justify" vertical="center" wrapText="1"/>
    </xf>
    <xf numFmtId="9" fontId="25" fillId="0" borderId="11" xfId="82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justify" vertical="center" wrapText="1"/>
    </xf>
    <xf numFmtId="0" fontId="87" fillId="0" borderId="11" xfId="0" applyFont="1" applyFill="1" applyBorder="1" applyAlignment="1">
      <alignment horizontal="center" vertical="center" wrapText="1"/>
    </xf>
    <xf numFmtId="43" fontId="87" fillId="0" borderId="11" xfId="28" applyFont="1" applyBorder="1" applyAlignment="1">
      <alignment horizontal="center" vertical="center"/>
    </xf>
    <xf numFmtId="9" fontId="87" fillId="0" borderId="11" xfId="82" applyFont="1" applyBorder="1" applyAlignment="1">
      <alignment horizontal="center" vertical="center"/>
    </xf>
    <xf numFmtId="43" fontId="87" fillId="0" borderId="11" xfId="28" applyFont="1" applyFill="1" applyBorder="1" applyAlignment="1">
      <alignment horizontal="center" vertical="center"/>
    </xf>
    <xf numFmtId="9" fontId="87" fillId="0" borderId="11" xfId="82" applyFont="1" applyFill="1" applyBorder="1" applyAlignment="1">
      <alignment horizontal="center" vertical="center"/>
    </xf>
    <xf numFmtId="0" fontId="87" fillId="61" borderId="11" xfId="0" applyFont="1" applyFill="1" applyBorder="1" applyAlignment="1">
      <alignment horizontal="justify" vertical="center" wrapText="1"/>
    </xf>
    <xf numFmtId="0" fontId="87" fillId="61" borderId="11" xfId="0" applyFont="1" applyFill="1" applyBorder="1" applyAlignment="1">
      <alignment horizontal="center" vertical="center" wrapText="1"/>
    </xf>
    <xf numFmtId="43" fontId="25" fillId="0" borderId="38" xfId="28" applyFont="1" applyBorder="1" applyAlignment="1">
      <alignment horizontal="center" vertical="center" wrapText="1"/>
    </xf>
    <xf numFmtId="0" fontId="95" fillId="0" borderId="0" xfId="0" applyFont="1" applyAlignment="1">
      <alignment vertical="center"/>
    </xf>
    <xf numFmtId="0" fontId="89" fillId="0" borderId="0" xfId="0" applyFont="1" applyBorder="1" applyAlignment="1"/>
    <xf numFmtId="0" fontId="1" fillId="0" borderId="0" xfId="0" applyFont="1" applyAlignment="1">
      <alignment horizontal="center" vertical="center"/>
    </xf>
    <xf numFmtId="192" fontId="87" fillId="0" borderId="11" xfId="28" applyNumberFormat="1" applyFont="1" applyFill="1" applyBorder="1" applyAlignment="1">
      <alignment horizontal="center" vertical="center"/>
    </xf>
    <xf numFmtId="0" fontId="25" fillId="0" borderId="68" xfId="75" applyFont="1" applyFill="1" applyBorder="1" applyAlignment="1">
      <alignment horizontal="center" vertical="center"/>
    </xf>
    <xf numFmtId="43" fontId="96" fillId="0" borderId="27" xfId="28" applyFont="1" applyBorder="1" applyAlignment="1">
      <alignment vertical="center"/>
    </xf>
    <xf numFmtId="43" fontId="96" fillId="0" borderId="27" xfId="28" applyFont="1" applyBorder="1" applyAlignment="1">
      <alignment horizontal="center" vertical="center"/>
    </xf>
    <xf numFmtId="9" fontId="96" fillId="0" borderId="27" xfId="82" applyFont="1" applyBorder="1" applyAlignment="1">
      <alignment horizontal="center" vertical="center"/>
    </xf>
    <xf numFmtId="43" fontId="96" fillId="0" borderId="27" xfId="28" applyFont="1" applyBorder="1" applyAlignment="1">
      <alignment horizontal="center" vertical="center" wrapText="1"/>
    </xf>
    <xf numFmtId="0" fontId="96" fillId="0" borderId="49" xfId="75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11" xfId="75" applyFont="1" applyFill="1" applyBorder="1" applyAlignment="1">
      <alignment horizontal="center" vertical="center"/>
    </xf>
    <xf numFmtId="0" fontId="96" fillId="0" borderId="6" xfId="75" applyFont="1" applyFill="1" applyBorder="1" applyAlignment="1">
      <alignment horizontal="center" vertical="center"/>
    </xf>
    <xf numFmtId="0" fontId="96" fillId="0" borderId="38" xfId="75" applyFont="1" applyFill="1" applyBorder="1" applyAlignment="1">
      <alignment vertical="center"/>
    </xf>
    <xf numFmtId="0" fontId="96" fillId="0" borderId="0" xfId="0" applyFont="1" applyFill="1" applyAlignment="1">
      <alignment vertical="center"/>
    </xf>
    <xf numFmtId="192" fontId="96" fillId="0" borderId="27" xfId="28" applyNumberFormat="1" applyFont="1" applyFill="1" applyBorder="1" applyAlignment="1">
      <alignment horizontal="center" vertical="center"/>
    </xf>
    <xf numFmtId="192" fontId="74" fillId="0" borderId="27" xfId="28" applyNumberFormat="1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vertical="center" wrapText="1"/>
    </xf>
    <xf numFmtId="0" fontId="91" fillId="0" borderId="0" xfId="0" applyFont="1" applyBorder="1" applyAlignment="1">
      <alignment horizontal="center" vertical="center"/>
    </xf>
    <xf numFmtId="43" fontId="85" fillId="0" borderId="11" xfId="28" applyFont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86" fillId="61" borderId="11" xfId="75" applyFont="1" applyFill="1" applyBorder="1" applyAlignment="1">
      <alignment horizontal="justify" vertical="center" wrapText="1"/>
    </xf>
    <xf numFmtId="0" fontId="86" fillId="61" borderId="11" xfId="75" applyFont="1" applyFill="1" applyBorder="1" applyAlignment="1">
      <alignment horizontal="center" vertical="center" wrapText="1"/>
    </xf>
    <xf numFmtId="43" fontId="86" fillId="0" borderId="11" xfId="28" applyFont="1" applyBorder="1" applyAlignment="1">
      <alignment vertical="center"/>
    </xf>
    <xf numFmtId="43" fontId="86" fillId="0" borderId="11" xfId="28" applyFont="1" applyBorder="1" applyAlignment="1">
      <alignment horizontal="center" vertical="center"/>
    </xf>
    <xf numFmtId="9" fontId="86" fillId="0" borderId="11" xfId="82" applyFont="1" applyBorder="1" applyAlignment="1">
      <alignment horizontal="center" vertical="center"/>
    </xf>
    <xf numFmtId="192" fontId="86" fillId="0" borderId="11" xfId="28" applyNumberFormat="1" applyFont="1" applyFill="1" applyBorder="1" applyAlignment="1">
      <alignment horizontal="center" vertical="center"/>
    </xf>
    <xf numFmtId="43" fontId="86" fillId="0" borderId="11" xfId="28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94" fillId="0" borderId="0" xfId="0" applyFont="1" applyBorder="1" applyAlignment="1">
      <alignment horizontal="center" vertical="center"/>
    </xf>
    <xf numFmtId="43" fontId="87" fillId="0" borderId="11" xfId="28" applyFont="1" applyBorder="1" applyAlignment="1">
      <alignment horizontal="center" vertical="center" wrapText="1"/>
    </xf>
    <xf numFmtId="0" fontId="87" fillId="0" borderId="0" xfId="0" applyFont="1" applyAlignment="1">
      <alignment vertical="center"/>
    </xf>
    <xf numFmtId="0" fontId="86" fillId="61" borderId="11" xfId="0" applyFont="1" applyFill="1" applyBorder="1" applyAlignment="1">
      <alignment horizontal="justify" vertical="center" wrapText="1"/>
    </xf>
    <xf numFmtId="0" fontId="86" fillId="61" borderId="11" xfId="0" applyFont="1" applyFill="1" applyBorder="1" applyAlignment="1">
      <alignment horizontal="center" vertical="center" wrapText="1"/>
    </xf>
    <xf numFmtId="43" fontId="86" fillId="0" borderId="11" xfId="28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192" fontId="86" fillId="0" borderId="27" xfId="28" applyNumberFormat="1" applyFont="1" applyFill="1" applyBorder="1" applyAlignment="1">
      <alignment horizontal="center" vertical="center"/>
    </xf>
    <xf numFmtId="43" fontId="86" fillId="0" borderId="27" xfId="28" applyFont="1" applyBorder="1" applyAlignment="1">
      <alignment horizontal="center" vertical="center" wrapText="1"/>
    </xf>
    <xf numFmtId="43" fontId="74" fillId="0" borderId="11" xfId="28" applyFont="1" applyFill="1" applyBorder="1" applyAlignment="1">
      <alignment vertical="center"/>
    </xf>
    <xf numFmtId="43" fontId="86" fillId="0" borderId="11" xfId="28" applyFont="1" applyFill="1" applyBorder="1" applyAlignment="1">
      <alignment vertical="center"/>
    </xf>
    <xf numFmtId="0" fontId="86" fillId="0" borderId="11" xfId="0" applyFont="1" applyFill="1" applyBorder="1" applyAlignment="1">
      <alignment horizontal="justify" vertical="center" wrapText="1"/>
    </xf>
    <xf numFmtId="0" fontId="82" fillId="0" borderId="1" xfId="0" applyFont="1" applyBorder="1" applyAlignment="1">
      <alignment horizontal="center" vertical="center" wrapText="1"/>
    </xf>
    <xf numFmtId="0" fontId="25" fillId="40" borderId="6" xfId="75" applyFont="1" applyFill="1" applyBorder="1" applyAlignment="1">
      <alignment horizontal="center" vertical="center"/>
    </xf>
    <xf numFmtId="0" fontId="25" fillId="0" borderId="6" xfId="75" applyFont="1" applyFill="1" applyBorder="1" applyAlignment="1">
      <alignment vertical="center"/>
    </xf>
    <xf numFmtId="43" fontId="87" fillId="0" borderId="6" xfId="28" applyFont="1" applyFill="1" applyBorder="1" applyAlignment="1">
      <alignment horizontal="center" vertical="center"/>
    </xf>
    <xf numFmtId="0" fontId="25" fillId="0" borderId="6" xfId="75" applyFont="1" applyFill="1" applyBorder="1" applyAlignment="1">
      <alignment horizontal="center" vertical="center"/>
    </xf>
    <xf numFmtId="0" fontId="86" fillId="0" borderId="11" xfId="75" applyFont="1" applyFill="1" applyBorder="1" applyAlignment="1">
      <alignment horizontal="center" vertical="center"/>
    </xf>
    <xf numFmtId="9" fontId="86" fillId="0" borderId="11" xfId="82" applyFont="1" applyFill="1" applyBorder="1" applyAlignment="1">
      <alignment horizontal="center" vertical="center"/>
    </xf>
    <xf numFmtId="0" fontId="86" fillId="0" borderId="49" xfId="75" applyFont="1" applyFill="1" applyBorder="1" applyAlignment="1">
      <alignment horizontal="center" vertical="center"/>
    </xf>
    <xf numFmtId="2" fontId="86" fillId="61" borderId="11" xfId="0" applyNumberFormat="1" applyFont="1" applyFill="1" applyBorder="1" applyAlignment="1">
      <alignment horizontal="center" vertical="center"/>
    </xf>
    <xf numFmtId="43" fontId="17" fillId="0" borderId="6" xfId="75" applyNumberFormat="1" applyFont="1" applyFill="1" applyBorder="1" applyAlignment="1">
      <alignment vertical="center"/>
    </xf>
    <xf numFmtId="43" fontId="17" fillId="0" borderId="11" xfId="75" applyNumberFormat="1" applyFont="1" applyFill="1" applyBorder="1" applyAlignment="1">
      <alignment vertical="center"/>
    </xf>
    <xf numFmtId="43" fontId="87" fillId="0" borderId="11" xfId="28" applyNumberFormat="1" applyFont="1" applyFill="1" applyBorder="1" applyAlignment="1">
      <alignment horizontal="center" vertical="center" wrapText="1"/>
    </xf>
    <xf numFmtId="0" fontId="86" fillId="0" borderId="38" xfId="75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vertical="center" wrapText="1"/>
    </xf>
    <xf numFmtId="0" fontId="17" fillId="0" borderId="49" xfId="0" applyFont="1" applyBorder="1" applyAlignment="1">
      <alignment vertical="center"/>
    </xf>
    <xf numFmtId="0" fontId="92" fillId="0" borderId="11" xfId="0" applyFont="1" applyFill="1" applyBorder="1" applyAlignment="1">
      <alignment horizontal="center" vertical="center"/>
    </xf>
    <xf numFmtId="0" fontId="92" fillId="0" borderId="11" xfId="75" applyFont="1" applyFill="1" applyBorder="1" applyAlignment="1">
      <alignment horizontal="justify" vertical="center" wrapText="1"/>
    </xf>
    <xf numFmtId="0" fontId="92" fillId="0" borderId="68" xfId="75" applyFont="1" applyFill="1" applyBorder="1" applyAlignment="1">
      <alignment horizontal="center" vertical="center"/>
    </xf>
    <xf numFmtId="0" fontId="86" fillId="0" borderId="68" xfId="75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9" fillId="0" borderId="0" xfId="0" applyFont="1" applyBorder="1" applyAlignment="1"/>
    <xf numFmtId="0" fontId="90" fillId="0" borderId="0" xfId="0" applyFont="1"/>
    <xf numFmtId="0" fontId="1" fillId="0" borderId="0" xfId="0" applyFont="1" applyAlignment="1">
      <alignment horizontal="center" vertical="center"/>
    </xf>
    <xf numFmtId="0" fontId="81" fillId="0" borderId="1" xfId="0" applyFont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164" fontId="17" fillId="0" borderId="38" xfId="75" applyNumberFormat="1" applyFont="1" applyFill="1" applyBorder="1" applyAlignment="1">
      <alignment vertical="center"/>
    </xf>
    <xf numFmtId="0" fontId="93" fillId="0" borderId="38" xfId="75" applyFont="1" applyFill="1" applyBorder="1" applyAlignment="1">
      <alignment horizontal="center" vertical="center"/>
    </xf>
    <xf numFmtId="49" fontId="88" fillId="0" borderId="23" xfId="0" applyNumberFormat="1" applyFont="1" applyBorder="1" applyAlignment="1">
      <alignment horizontal="center" vertical="center"/>
    </xf>
    <xf numFmtId="0" fontId="51" fillId="0" borderId="11" xfId="75" applyFont="1" applyFill="1" applyBorder="1" applyAlignment="1">
      <alignment horizontal="center" vertical="center"/>
    </xf>
    <xf numFmtId="0" fontId="71" fillId="40" borderId="49" xfId="78" applyFont="1" applyFill="1" applyBorder="1" applyAlignment="1">
      <alignment horizontal="center" vertical="center" wrapText="1"/>
    </xf>
    <xf numFmtId="0" fontId="71" fillId="40" borderId="38" xfId="78" applyFont="1" applyFill="1" applyBorder="1" applyAlignment="1">
      <alignment horizontal="center" vertical="center" wrapText="1"/>
    </xf>
    <xf numFmtId="0" fontId="51" fillId="0" borderId="34" xfId="75" applyFont="1" applyFill="1" applyBorder="1" applyAlignment="1">
      <alignment horizontal="center" vertical="center"/>
    </xf>
    <xf numFmtId="0" fontId="71" fillId="51" borderId="49" xfId="77" applyFont="1" applyFill="1" applyBorder="1" applyAlignment="1">
      <alignment horizontal="center" vertical="center" wrapText="1"/>
    </xf>
    <xf numFmtId="0" fontId="71" fillId="51" borderId="6" xfId="77" applyFont="1" applyFill="1" applyBorder="1" applyAlignment="1">
      <alignment horizontal="center" vertical="center" wrapText="1"/>
    </xf>
    <xf numFmtId="0" fontId="51" fillId="56" borderId="11" xfId="75" applyFont="1" applyFill="1" applyBorder="1" applyAlignment="1">
      <alignment horizontal="center" vertical="center"/>
    </xf>
    <xf numFmtId="0" fontId="17" fillId="43" borderId="49" xfId="75" applyFont="1" applyFill="1" applyBorder="1" applyAlignment="1">
      <alignment horizontal="center" vertical="center"/>
    </xf>
    <xf numFmtId="0" fontId="17" fillId="43" borderId="38" xfId="75" applyFont="1" applyFill="1" applyBorder="1" applyAlignment="1">
      <alignment horizontal="center" vertical="center"/>
    </xf>
    <xf numFmtId="0" fontId="71" fillId="40" borderId="49" xfId="77" applyFont="1" applyFill="1" applyBorder="1" applyAlignment="1">
      <alignment horizontal="center" vertical="center" wrapText="1"/>
    </xf>
    <xf numFmtId="0" fontId="71" fillId="40" borderId="38" xfId="77" applyFont="1" applyFill="1" applyBorder="1" applyAlignment="1">
      <alignment horizontal="center" vertical="center" wrapText="1"/>
    </xf>
    <xf numFmtId="0" fontId="17" fillId="43" borderId="49" xfId="77" applyFont="1" applyFill="1" applyBorder="1" applyAlignment="1">
      <alignment horizontal="center" vertical="center" wrapText="1"/>
    </xf>
    <xf numFmtId="0" fontId="17" fillId="43" borderId="38" xfId="77" applyFont="1" applyFill="1" applyBorder="1" applyAlignment="1">
      <alignment horizontal="center" vertical="center" wrapText="1"/>
    </xf>
    <xf numFmtId="43" fontId="17" fillId="22" borderId="88" xfId="29" applyNumberFormat="1" applyFont="1" applyFill="1" applyBorder="1" applyAlignment="1">
      <alignment horizontal="center" vertical="center"/>
    </xf>
    <xf numFmtId="43" fontId="52" fillId="0" borderId="89" xfId="0" applyNumberFormat="1" applyFont="1" applyBorder="1"/>
    <xf numFmtId="43" fontId="52" fillId="0" borderId="90" xfId="0" applyNumberFormat="1" applyFont="1" applyBorder="1"/>
    <xf numFmtId="43" fontId="17" fillId="22" borderId="84" xfId="29" applyNumberFormat="1" applyFont="1" applyFill="1" applyBorder="1" applyAlignment="1">
      <alignment horizontal="center" vertical="center" wrapText="1"/>
    </xf>
    <xf numFmtId="43" fontId="17" fillId="22" borderId="85" xfId="29" applyNumberFormat="1" applyFont="1" applyFill="1" applyBorder="1" applyAlignment="1">
      <alignment horizontal="center" vertical="center" wrapText="1"/>
    </xf>
    <xf numFmtId="43" fontId="17" fillId="22" borderId="10" xfId="29" applyNumberFormat="1" applyFont="1" applyFill="1" applyBorder="1" applyAlignment="1">
      <alignment horizontal="center" vertical="center" wrapText="1"/>
    </xf>
    <xf numFmtId="43" fontId="17" fillId="22" borderId="86" xfId="29" applyNumberFormat="1" applyFont="1" applyFill="1" applyBorder="1" applyAlignment="1">
      <alignment horizontal="center" vertical="center" wrapText="1"/>
    </xf>
    <xf numFmtId="0" fontId="17" fillId="34" borderId="49" xfId="29" applyNumberFormat="1" applyFont="1" applyFill="1" applyBorder="1" applyAlignment="1">
      <alignment horizontal="center" vertical="center"/>
    </xf>
    <xf numFmtId="0" fontId="0" fillId="0" borderId="38" xfId="0" applyBorder="1"/>
    <xf numFmtId="0" fontId="17" fillId="22" borderId="91" xfId="75" applyFont="1" applyFill="1" applyBorder="1" applyAlignment="1">
      <alignment horizontal="center" vertical="center"/>
    </xf>
    <xf numFmtId="0" fontId="17" fillId="22" borderId="92" xfId="75" applyFont="1" applyFill="1" applyBorder="1" applyAlignment="1">
      <alignment horizontal="center" vertical="center"/>
    </xf>
    <xf numFmtId="0" fontId="17" fillId="22" borderId="40" xfId="75" applyFont="1" applyFill="1" applyBorder="1" applyAlignment="1">
      <alignment horizontal="center" vertical="center"/>
    </xf>
    <xf numFmtId="0" fontId="17" fillId="22" borderId="0" xfId="75" applyFont="1" applyFill="1" applyBorder="1" applyAlignment="1">
      <alignment horizontal="center" vertical="center"/>
    </xf>
    <xf numFmtId="0" fontId="17" fillId="22" borderId="94" xfId="75" applyFont="1" applyFill="1" applyBorder="1" applyAlignment="1">
      <alignment horizontal="center" vertical="center"/>
    </xf>
    <xf numFmtId="0" fontId="17" fillId="22" borderId="70" xfId="75" applyFont="1" applyFill="1" applyBorder="1" applyAlignment="1">
      <alignment horizontal="center" vertical="center"/>
    </xf>
    <xf numFmtId="0" fontId="71" fillId="40" borderId="68" xfId="77" applyFont="1" applyFill="1" applyBorder="1" applyAlignment="1">
      <alignment horizontal="center" vertical="center" wrapText="1"/>
    </xf>
    <xf numFmtId="0" fontId="71" fillId="40" borderId="14" xfId="77" applyFont="1" applyFill="1" applyBorder="1" applyAlignment="1">
      <alignment horizontal="center" vertical="center" wrapText="1"/>
    </xf>
    <xf numFmtId="0" fontId="51" fillId="0" borderId="49" xfId="75" applyFont="1" applyFill="1" applyBorder="1" applyAlignment="1">
      <alignment horizontal="center" vertical="center"/>
    </xf>
    <xf numFmtId="0" fontId="51" fillId="0" borderId="38" xfId="75" applyFont="1" applyFill="1" applyBorder="1" applyAlignment="1">
      <alignment horizontal="center" vertical="center"/>
    </xf>
    <xf numFmtId="0" fontId="58" fillId="22" borderId="87" xfId="0" applyFont="1" applyFill="1" applyBorder="1" applyAlignment="1">
      <alignment horizontal="center" vertical="center" wrapText="1"/>
    </xf>
    <xf numFmtId="0" fontId="58" fillId="22" borderId="45" xfId="0" applyFont="1" applyFill="1" applyBorder="1" applyAlignment="1">
      <alignment horizontal="center" vertical="center" wrapText="1"/>
    </xf>
    <xf numFmtId="0" fontId="58" fillId="22" borderId="27" xfId="0" applyFont="1" applyFill="1" applyBorder="1" applyAlignment="1">
      <alignment horizontal="center" vertical="center" wrapText="1"/>
    </xf>
    <xf numFmtId="178" fontId="58" fillId="22" borderId="87" xfId="29" applyNumberFormat="1" applyFont="1" applyFill="1" applyBorder="1" applyAlignment="1">
      <alignment horizontal="center" vertical="center" wrapText="1"/>
    </xf>
    <xf numFmtId="178" fontId="58" fillId="22" borderId="45" xfId="29" applyNumberFormat="1" applyFont="1" applyFill="1" applyBorder="1" applyAlignment="1">
      <alignment horizontal="center" vertical="center" wrapText="1"/>
    </xf>
    <xf numFmtId="178" fontId="58" fillId="22" borderId="27" xfId="29" applyNumberFormat="1" applyFont="1" applyFill="1" applyBorder="1" applyAlignment="1">
      <alignment horizontal="center" vertical="center" wrapText="1"/>
    </xf>
    <xf numFmtId="0" fontId="54" fillId="0" borderId="11" xfId="75" applyFont="1" applyBorder="1" applyAlignment="1">
      <alignment horizontal="center"/>
    </xf>
    <xf numFmtId="0" fontId="50" fillId="32" borderId="67" xfId="75" applyNumberFormat="1" applyFont="1" applyFill="1" applyBorder="1" applyAlignment="1">
      <alignment horizontal="center"/>
    </xf>
    <xf numFmtId="0" fontId="50" fillId="32" borderId="18" xfId="75" applyNumberFormat="1" applyFont="1" applyFill="1" applyBorder="1" applyAlignment="1">
      <alignment horizontal="center"/>
    </xf>
    <xf numFmtId="0" fontId="50" fillId="40" borderId="41" xfId="78" applyFont="1" applyFill="1" applyBorder="1" applyAlignment="1">
      <alignment horizontal="left" vertical="center" wrapText="1"/>
    </xf>
    <xf numFmtId="0" fontId="53" fillId="29" borderId="95" xfId="75" applyFont="1" applyFill="1" applyBorder="1" applyAlignment="1">
      <alignment horizontal="left" vertical="center" wrapText="1"/>
    </xf>
    <xf numFmtId="0" fontId="53" fillId="29" borderId="96" xfId="75" applyFont="1" applyFill="1" applyBorder="1" applyAlignment="1">
      <alignment horizontal="left" vertical="center" wrapText="1"/>
    </xf>
    <xf numFmtId="0" fontId="50" fillId="43" borderId="28" xfId="78" applyFont="1" applyFill="1" applyBorder="1" applyAlignment="1">
      <alignment horizontal="left" vertical="center" wrapText="1"/>
    </xf>
    <xf numFmtId="0" fontId="53" fillId="43" borderId="6" xfId="75" applyFont="1" applyFill="1" applyBorder="1" applyAlignment="1">
      <alignment horizontal="left" vertical="center" wrapText="1"/>
    </xf>
    <xf numFmtId="0" fontId="53" fillId="43" borderId="63" xfId="75" applyFont="1" applyFill="1" applyBorder="1" applyAlignment="1">
      <alignment horizontal="left" vertical="center" wrapText="1"/>
    </xf>
    <xf numFmtId="0" fontId="49" fillId="22" borderId="91" xfId="75" applyFont="1" applyFill="1" applyBorder="1" applyAlignment="1">
      <alignment horizontal="center" vertical="center"/>
    </xf>
    <xf numFmtId="0" fontId="49" fillId="22" borderId="92" xfId="75" applyFont="1" applyFill="1" applyBorder="1" applyAlignment="1">
      <alignment horizontal="center" vertical="center"/>
    </xf>
    <xf numFmtId="0" fontId="49" fillId="22" borderId="93" xfId="75" applyFont="1" applyFill="1" applyBorder="1" applyAlignment="1">
      <alignment horizontal="center" vertical="center"/>
    </xf>
    <xf numFmtId="0" fontId="49" fillId="22" borderId="40" xfId="75" applyFont="1" applyFill="1" applyBorder="1" applyAlignment="1">
      <alignment horizontal="center" vertical="center"/>
    </xf>
    <xf numFmtId="0" fontId="49" fillId="22" borderId="0" xfId="75" applyFont="1" applyFill="1" applyBorder="1" applyAlignment="1">
      <alignment horizontal="center" vertical="center"/>
    </xf>
    <xf numFmtId="0" fontId="49" fillId="22" borderId="62" xfId="75" applyFont="1" applyFill="1" applyBorder="1" applyAlignment="1">
      <alignment horizontal="center" vertical="center"/>
    </xf>
    <xf numFmtId="0" fontId="49" fillId="22" borderId="94" xfId="75" applyFont="1" applyFill="1" applyBorder="1" applyAlignment="1">
      <alignment horizontal="center" vertical="center"/>
    </xf>
    <xf numFmtId="0" fontId="49" fillId="22" borderId="70" xfId="75" applyFont="1" applyFill="1" applyBorder="1" applyAlignment="1">
      <alignment horizontal="center" vertical="center"/>
    </xf>
    <xf numFmtId="0" fontId="49" fillId="22" borderId="58" xfId="75" applyFont="1" applyFill="1" applyBorder="1" applyAlignment="1">
      <alignment horizontal="center" vertical="center"/>
    </xf>
    <xf numFmtId="179" fontId="49" fillId="22" borderId="51" xfId="95" applyNumberFormat="1" applyFont="1" applyFill="1" applyBorder="1" applyAlignment="1">
      <alignment horizontal="center" vertical="center" wrapText="1"/>
    </xf>
    <xf numFmtId="179" fontId="49" fillId="22" borderId="60" xfId="95" applyNumberFormat="1" applyFont="1" applyFill="1" applyBorder="1" applyAlignment="1">
      <alignment horizontal="center" vertical="center" wrapText="1"/>
    </xf>
    <xf numFmtId="179" fontId="49" fillId="22" borderId="52" xfId="95" applyNumberFormat="1" applyFont="1" applyFill="1" applyBorder="1" applyAlignment="1">
      <alignment horizontal="center" vertical="center" wrapText="1"/>
    </xf>
    <xf numFmtId="2" fontId="50" fillId="35" borderId="70" xfId="75" applyNumberFormat="1" applyFont="1" applyFill="1" applyBorder="1" applyAlignment="1">
      <alignment horizontal="center"/>
    </xf>
    <xf numFmtId="2" fontId="46" fillId="0" borderId="11" xfId="75" applyNumberFormat="1" applyFont="1" applyBorder="1" applyAlignment="1">
      <alignment horizontal="center"/>
    </xf>
    <xf numFmtId="0" fontId="50" fillId="43" borderId="6" xfId="78" applyFont="1" applyFill="1" applyBorder="1" applyAlignment="1">
      <alignment horizontal="left" vertical="center" wrapText="1"/>
    </xf>
    <xf numFmtId="0" fontId="50" fillId="43" borderId="63" xfId="78" applyFont="1" applyFill="1" applyBorder="1" applyAlignment="1">
      <alignment horizontal="left" vertical="center" wrapText="1"/>
    </xf>
    <xf numFmtId="2" fontId="46" fillId="46" borderId="11" xfId="75" applyNumberFormat="1" applyFont="1" applyFill="1" applyBorder="1" applyAlignment="1">
      <alignment horizontal="center"/>
    </xf>
    <xf numFmtId="2" fontId="46" fillId="46" borderId="49" xfId="75" applyNumberFormat="1" applyFont="1" applyFill="1" applyBorder="1" applyAlignment="1">
      <alignment horizontal="center"/>
    </xf>
    <xf numFmtId="2" fontId="46" fillId="46" borderId="6" xfId="75" applyNumberFormat="1" applyFont="1" applyFill="1" applyBorder="1" applyAlignment="1">
      <alignment horizontal="center"/>
    </xf>
    <xf numFmtId="0" fontId="50" fillId="43" borderId="41" xfId="75" applyFont="1" applyFill="1" applyBorder="1" applyAlignment="1">
      <alignment horizontal="left" vertical="center" wrapText="1"/>
    </xf>
    <xf numFmtId="0" fontId="50" fillId="43" borderId="95" xfId="75" applyFont="1" applyFill="1" applyBorder="1" applyAlignment="1">
      <alignment horizontal="left" vertical="center" wrapText="1"/>
    </xf>
    <xf numFmtId="0" fontId="50" fillId="43" borderId="96" xfId="75" applyFont="1" applyFill="1" applyBorder="1" applyAlignment="1">
      <alignment horizontal="left" vertical="center" wrapText="1"/>
    </xf>
    <xf numFmtId="0" fontId="50" fillId="40" borderId="24" xfId="78" applyFont="1" applyFill="1" applyBorder="1" applyAlignment="1">
      <alignment horizontal="left" vertical="center" wrapText="1"/>
    </xf>
    <xf numFmtId="0" fontId="53" fillId="40" borderId="1" xfId="75" applyFont="1" applyFill="1" applyBorder="1" applyAlignment="1">
      <alignment horizontal="left" vertical="center" wrapText="1"/>
    </xf>
    <xf numFmtId="0" fontId="53" fillId="40" borderId="61" xfId="75" applyFont="1" applyFill="1" applyBorder="1" applyAlignment="1">
      <alignment horizontal="left" vertical="center" wrapText="1"/>
    </xf>
    <xf numFmtId="0" fontId="50" fillId="51" borderId="18" xfId="78" applyFont="1" applyFill="1" applyBorder="1" applyAlignment="1">
      <alignment horizontal="center" vertical="center"/>
    </xf>
    <xf numFmtId="0" fontId="50" fillId="51" borderId="5" xfId="78" applyFont="1" applyFill="1" applyBorder="1" applyAlignment="1">
      <alignment horizontal="center" vertical="center"/>
    </xf>
    <xf numFmtId="0" fontId="50" fillId="51" borderId="19" xfId="78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0" fillId="0" borderId="0" xfId="0" applyFont="1" applyBorder="1" applyAlignment="1">
      <alignment wrapText="1"/>
    </xf>
    <xf numFmtId="0" fontId="89" fillId="0" borderId="0" xfId="0" applyFont="1" applyBorder="1" applyAlignment="1"/>
    <xf numFmtId="0" fontId="89" fillId="0" borderId="92" xfId="0" applyFont="1" applyBorder="1" applyAlignment="1">
      <alignment wrapText="1"/>
    </xf>
    <xf numFmtId="0" fontId="89" fillId="0" borderId="92" xfId="0" applyFont="1" applyBorder="1" applyAlignment="1"/>
    <xf numFmtId="0" fontId="90" fillId="0" borderId="0" xfId="0" applyFont="1"/>
    <xf numFmtId="0" fontId="17" fillId="0" borderId="6" xfId="75" applyFont="1" applyFill="1" applyBorder="1" applyAlignment="1">
      <alignment horizontal="left" vertical="center"/>
    </xf>
    <xf numFmtId="0" fontId="17" fillId="0" borderId="38" xfId="75" applyFont="1" applyFill="1" applyBorder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0" fontId="50" fillId="40" borderId="41" xfId="77" applyFont="1" applyFill="1" applyBorder="1" applyAlignment="1">
      <alignment horizontal="left" vertical="center" wrapText="1"/>
    </xf>
    <xf numFmtId="0" fontId="50" fillId="56" borderId="67" xfId="75" applyNumberFormat="1" applyFont="1" applyFill="1" applyBorder="1" applyAlignment="1">
      <alignment horizontal="center"/>
    </xf>
    <xf numFmtId="0" fontId="50" fillId="43" borderId="28" xfId="77" applyFont="1" applyFill="1" applyBorder="1" applyAlignment="1">
      <alignment horizontal="left" vertical="center" wrapText="1"/>
    </xf>
    <xf numFmtId="0" fontId="50" fillId="22" borderId="18" xfId="77" applyFont="1" applyFill="1" applyBorder="1" applyAlignment="1">
      <alignment horizontal="center" vertical="center"/>
    </xf>
    <xf numFmtId="0" fontId="50" fillId="22" borderId="5" xfId="77" applyFont="1" applyFill="1" applyBorder="1" applyAlignment="1">
      <alignment horizontal="center" vertical="center"/>
    </xf>
    <xf numFmtId="0" fontId="50" fillId="22" borderId="19" xfId="77" applyFont="1" applyFill="1" applyBorder="1" applyAlignment="1">
      <alignment horizontal="center" vertical="center"/>
    </xf>
    <xf numFmtId="179" fontId="49" fillId="22" borderId="51" xfId="28" applyNumberFormat="1" applyFont="1" applyFill="1" applyBorder="1" applyAlignment="1">
      <alignment horizontal="center" vertical="center" wrapText="1"/>
    </xf>
    <xf numFmtId="179" fontId="49" fillId="22" borderId="60" xfId="28" applyNumberFormat="1" applyFont="1" applyFill="1" applyBorder="1" applyAlignment="1">
      <alignment horizontal="center" vertical="center" wrapText="1"/>
    </xf>
    <xf numFmtId="179" fontId="49" fillId="22" borderId="52" xfId="28" applyNumberFormat="1" applyFont="1" applyFill="1" applyBorder="1" applyAlignment="1">
      <alignment horizontal="center" vertical="center" wrapText="1"/>
    </xf>
    <xf numFmtId="0" fontId="50" fillId="43" borderId="6" xfId="77" applyFont="1" applyFill="1" applyBorder="1" applyAlignment="1">
      <alignment horizontal="left" vertical="center" wrapText="1"/>
    </xf>
    <xf numFmtId="0" fontId="50" fillId="43" borderId="63" xfId="77" applyFont="1" applyFill="1" applyBorder="1" applyAlignment="1">
      <alignment horizontal="left" vertical="center" wrapText="1"/>
    </xf>
    <xf numFmtId="0" fontId="40" fillId="22" borderId="24" xfId="75" applyFont="1" applyFill="1" applyBorder="1" applyAlignment="1">
      <alignment horizontal="center"/>
    </xf>
    <xf numFmtId="0" fontId="40" fillId="22" borderId="1" xfId="75" applyFont="1" applyFill="1" applyBorder="1" applyAlignment="1">
      <alignment horizontal="center"/>
    </xf>
    <xf numFmtId="0" fontId="40" fillId="22" borderId="14" xfId="75" applyFont="1" applyFill="1" applyBorder="1" applyAlignment="1">
      <alignment horizontal="center"/>
    </xf>
    <xf numFmtId="0" fontId="50" fillId="40" borderId="95" xfId="77" applyFont="1" applyFill="1" applyBorder="1" applyAlignment="1">
      <alignment horizontal="left" vertical="center" wrapText="1"/>
    </xf>
    <xf numFmtId="0" fontId="50" fillId="40" borderId="96" xfId="77" applyFont="1" applyFill="1" applyBorder="1" applyAlignment="1">
      <alignment horizontal="left" vertical="center" wrapText="1"/>
    </xf>
    <xf numFmtId="0" fontId="50" fillId="22" borderId="91" xfId="75" applyFont="1" applyFill="1" applyBorder="1" applyAlignment="1">
      <alignment horizontal="center" vertical="center"/>
    </xf>
    <xf numFmtId="0" fontId="50" fillId="22" borderId="92" xfId="75" applyFont="1" applyFill="1" applyBorder="1" applyAlignment="1">
      <alignment horizontal="center" vertical="center"/>
    </xf>
    <xf numFmtId="0" fontId="50" fillId="22" borderId="93" xfId="75" applyFont="1" applyFill="1" applyBorder="1" applyAlignment="1">
      <alignment horizontal="center" vertical="center"/>
    </xf>
    <xf numFmtId="0" fontId="50" fillId="22" borderId="40" xfId="75" applyFont="1" applyFill="1" applyBorder="1" applyAlignment="1">
      <alignment horizontal="center" vertical="center"/>
    </xf>
    <xf numFmtId="0" fontId="50" fillId="22" borderId="0" xfId="75" applyFont="1" applyFill="1" applyBorder="1" applyAlignment="1">
      <alignment horizontal="center" vertical="center"/>
    </xf>
    <xf numFmtId="0" fontId="50" fillId="22" borderId="62" xfId="75" applyFont="1" applyFill="1" applyBorder="1" applyAlignment="1">
      <alignment horizontal="center" vertical="center"/>
    </xf>
    <xf numFmtId="0" fontId="50" fillId="41" borderId="28" xfId="77" applyFont="1" applyFill="1" applyBorder="1" applyAlignment="1">
      <alignment horizontal="left" vertical="center" wrapText="1"/>
    </xf>
    <xf numFmtId="0" fontId="50" fillId="41" borderId="6" xfId="77" applyFont="1" applyFill="1" applyBorder="1" applyAlignment="1">
      <alignment horizontal="left" vertical="center" wrapText="1"/>
    </xf>
    <xf numFmtId="0" fontId="50" fillId="41" borderId="63" xfId="77" applyFont="1" applyFill="1" applyBorder="1" applyAlignment="1">
      <alignment horizontal="left" vertical="center" wrapText="1"/>
    </xf>
    <xf numFmtId="179" fontId="40" fillId="22" borderId="51" xfId="28" applyNumberFormat="1" applyFont="1" applyFill="1" applyBorder="1" applyAlignment="1">
      <alignment horizontal="center" vertical="center" wrapText="1"/>
    </xf>
    <xf numFmtId="179" fontId="40" fillId="22" borderId="52" xfId="28" applyNumberFormat="1" applyFont="1" applyFill="1" applyBorder="1" applyAlignment="1">
      <alignment horizontal="center" vertical="center" wrapText="1"/>
    </xf>
    <xf numFmtId="0" fontId="50" fillId="42" borderId="18" xfId="77" applyFont="1" applyFill="1" applyBorder="1" applyAlignment="1">
      <alignment horizontal="center" vertical="center"/>
    </xf>
    <xf numFmtId="0" fontId="50" fillId="42" borderId="5" xfId="77" applyFont="1" applyFill="1" applyBorder="1" applyAlignment="1">
      <alignment horizontal="center" vertical="center"/>
    </xf>
    <xf numFmtId="0" fontId="50" fillId="42" borderId="19" xfId="77" applyFont="1" applyFill="1" applyBorder="1" applyAlignment="1">
      <alignment horizontal="center" vertical="center"/>
    </xf>
    <xf numFmtId="0" fontId="50" fillId="41" borderId="41" xfId="75" applyFont="1" applyFill="1" applyBorder="1" applyAlignment="1">
      <alignment horizontal="left" vertical="center" wrapText="1"/>
    </xf>
    <xf numFmtId="0" fontId="50" fillId="41" borderId="95" xfId="75" applyFont="1" applyFill="1" applyBorder="1" applyAlignment="1">
      <alignment horizontal="left" vertical="center" wrapText="1"/>
    </xf>
    <xf numFmtId="0" fontId="50" fillId="41" borderId="96" xfId="75" applyFont="1" applyFill="1" applyBorder="1" applyAlignment="1">
      <alignment horizontal="left" vertical="center" wrapText="1"/>
    </xf>
    <xf numFmtId="0" fontId="50" fillId="44" borderId="24" xfId="77" applyFont="1" applyFill="1" applyBorder="1" applyAlignment="1">
      <alignment horizontal="left" vertical="center" wrapText="1"/>
    </xf>
    <xf numFmtId="0" fontId="50" fillId="44" borderId="1" xfId="77" applyFont="1" applyFill="1" applyBorder="1" applyAlignment="1">
      <alignment horizontal="left" vertical="center" wrapText="1"/>
    </xf>
    <xf numFmtId="0" fontId="50" fillId="44" borderId="61" xfId="77" applyFont="1" applyFill="1" applyBorder="1" applyAlignment="1">
      <alignment horizontal="left" vertical="center" wrapText="1"/>
    </xf>
    <xf numFmtId="0" fontId="50" fillId="44" borderId="41" xfId="77" applyFont="1" applyFill="1" applyBorder="1" applyAlignment="1">
      <alignment horizontal="left" vertical="center" wrapText="1"/>
    </xf>
    <xf numFmtId="0" fontId="50" fillId="44" borderId="95" xfId="77" applyFont="1" applyFill="1" applyBorder="1" applyAlignment="1">
      <alignment horizontal="left" vertical="center" wrapText="1"/>
    </xf>
    <xf numFmtId="0" fontId="50" fillId="44" borderId="96" xfId="77" applyFont="1" applyFill="1" applyBorder="1" applyAlignment="1">
      <alignment horizontal="left" vertical="center" wrapText="1"/>
    </xf>
    <xf numFmtId="0" fontId="40" fillId="22" borderId="41" xfId="77" applyNumberFormat="1" applyFont="1" applyFill="1" applyBorder="1" applyAlignment="1">
      <alignment horizontal="center" vertical="center" wrapText="1"/>
    </xf>
    <xf numFmtId="0" fontId="40" fillId="22" borderId="95" xfId="77" applyNumberFormat="1" applyFont="1" applyFill="1" applyBorder="1" applyAlignment="1">
      <alignment horizontal="center" vertical="center" wrapText="1"/>
    </xf>
    <xf numFmtId="0" fontId="40" fillId="22" borderId="96" xfId="77" applyNumberFormat="1" applyFont="1" applyFill="1" applyBorder="1" applyAlignment="1">
      <alignment horizontal="center" vertical="center" wrapText="1"/>
    </xf>
    <xf numFmtId="0" fontId="40" fillId="28" borderId="1" xfId="77" applyFont="1" applyFill="1" applyBorder="1" applyAlignment="1">
      <alignment horizontal="left" vertical="center" wrapText="1" indent="1"/>
    </xf>
    <xf numFmtId="0" fontId="40" fillId="28" borderId="14" xfId="77" applyFont="1" applyFill="1" applyBorder="1" applyAlignment="1">
      <alignment horizontal="left" vertical="center" wrapText="1" indent="1"/>
    </xf>
    <xf numFmtId="0" fontId="37" fillId="0" borderId="0" xfId="76" applyFont="1" applyAlignment="1">
      <alignment horizontal="center"/>
    </xf>
    <xf numFmtId="179" fontId="40" fillId="0" borderId="70" xfId="77" applyNumberFormat="1" applyFont="1" applyFill="1" applyBorder="1" applyAlignment="1">
      <alignment horizontal="center" vertical="top" wrapText="1"/>
    </xf>
    <xf numFmtId="43" fontId="40" fillId="22" borderId="91" xfId="77" applyNumberFormat="1" applyFont="1" applyFill="1" applyBorder="1" applyAlignment="1">
      <alignment horizontal="center" vertical="center" wrapText="1"/>
    </xf>
    <xf numFmtId="43" fontId="40" fillId="22" borderId="92" xfId="77" applyNumberFormat="1" applyFont="1" applyFill="1" applyBorder="1" applyAlignment="1">
      <alignment horizontal="center" vertical="center" wrapText="1"/>
    </xf>
    <xf numFmtId="43" fontId="40" fillId="22" borderId="93" xfId="77" applyNumberFormat="1" applyFont="1" applyFill="1" applyBorder="1" applyAlignment="1">
      <alignment horizontal="center" vertical="center" wrapText="1"/>
    </xf>
    <xf numFmtId="43" fontId="40" fillId="22" borderId="94" xfId="77" applyNumberFormat="1" applyFont="1" applyFill="1" applyBorder="1" applyAlignment="1">
      <alignment horizontal="center" vertical="center" wrapText="1"/>
    </xf>
    <xf numFmtId="43" fontId="40" fillId="22" borderId="70" xfId="77" applyNumberFormat="1" applyFont="1" applyFill="1" applyBorder="1" applyAlignment="1">
      <alignment horizontal="center" vertical="center" wrapText="1"/>
    </xf>
    <xf numFmtId="43" fontId="40" fillId="22" borderId="58" xfId="77" applyNumberFormat="1" applyFont="1" applyFill="1" applyBorder="1" applyAlignment="1">
      <alignment horizontal="center" vertical="center" wrapText="1"/>
    </xf>
    <xf numFmtId="179" fontId="40" fillId="22" borderId="41" xfId="77" applyNumberFormat="1" applyFont="1" applyFill="1" applyBorder="1" applyAlignment="1">
      <alignment horizontal="center" vertical="center" wrapText="1"/>
    </xf>
    <xf numFmtId="179" fontId="40" fillId="22" borderId="95" xfId="77" applyNumberFormat="1" applyFont="1" applyFill="1" applyBorder="1" applyAlignment="1">
      <alignment horizontal="center" vertical="center" wrapText="1"/>
    </xf>
    <xf numFmtId="179" fontId="40" fillId="22" borderId="96" xfId="77" applyNumberFormat="1" applyFont="1" applyFill="1" applyBorder="1" applyAlignment="1">
      <alignment horizontal="center" vertical="center" wrapText="1"/>
    </xf>
    <xf numFmtId="0" fontId="55" fillId="43" borderId="41" xfId="77" applyNumberFormat="1" applyFont="1" applyFill="1" applyBorder="1" applyAlignment="1">
      <alignment horizontal="center" vertical="center" wrapText="1"/>
    </xf>
    <xf numFmtId="0" fontId="55" fillId="43" borderId="95" xfId="77" applyNumberFormat="1" applyFont="1" applyFill="1" applyBorder="1" applyAlignment="1">
      <alignment horizontal="center" vertical="center" wrapText="1"/>
    </xf>
    <xf numFmtId="0" fontId="55" fillId="43" borderId="96" xfId="77" applyNumberFormat="1" applyFont="1" applyFill="1" applyBorder="1" applyAlignment="1">
      <alignment horizontal="center" vertical="center" wrapText="1"/>
    </xf>
    <xf numFmtId="0" fontId="55" fillId="46" borderId="41" xfId="77" applyNumberFormat="1" applyFont="1" applyFill="1" applyBorder="1" applyAlignment="1">
      <alignment horizontal="center" vertical="center" wrapText="1"/>
    </xf>
    <xf numFmtId="0" fontId="55" fillId="46" borderId="95" xfId="77" applyNumberFormat="1" applyFont="1" applyFill="1" applyBorder="1" applyAlignment="1">
      <alignment horizontal="center" vertical="center" wrapText="1"/>
    </xf>
    <xf numFmtId="0" fontId="55" fillId="46" borderId="96" xfId="77" applyNumberFormat="1" applyFont="1" applyFill="1" applyBorder="1" applyAlignment="1">
      <alignment horizontal="center" vertical="center" wrapText="1"/>
    </xf>
    <xf numFmtId="0" fontId="56" fillId="49" borderId="41" xfId="77" applyNumberFormat="1" applyFont="1" applyFill="1" applyBorder="1" applyAlignment="1">
      <alignment horizontal="center" vertical="center" wrapText="1"/>
    </xf>
    <xf numFmtId="0" fontId="56" fillId="49" borderId="95" xfId="77" applyNumberFormat="1" applyFont="1" applyFill="1" applyBorder="1" applyAlignment="1">
      <alignment horizontal="center" vertical="center" wrapText="1"/>
    </xf>
    <xf numFmtId="0" fontId="56" fillId="49" borderId="96" xfId="77" applyNumberFormat="1" applyFont="1" applyFill="1" applyBorder="1" applyAlignment="1">
      <alignment horizontal="center" vertical="center" wrapText="1"/>
    </xf>
    <xf numFmtId="0" fontId="56" fillId="57" borderId="41" xfId="77" applyNumberFormat="1" applyFont="1" applyFill="1" applyBorder="1" applyAlignment="1">
      <alignment horizontal="center" vertical="center" wrapText="1"/>
    </xf>
    <xf numFmtId="0" fontId="56" fillId="57" borderId="95" xfId="77" applyNumberFormat="1" applyFont="1" applyFill="1" applyBorder="1" applyAlignment="1">
      <alignment horizontal="center" vertical="center" wrapText="1"/>
    </xf>
    <xf numFmtId="0" fontId="56" fillId="57" borderId="96" xfId="77" applyNumberFormat="1" applyFont="1" applyFill="1" applyBorder="1" applyAlignment="1">
      <alignment horizontal="center" vertical="center" wrapText="1"/>
    </xf>
    <xf numFmtId="0" fontId="56" fillId="58" borderId="41" xfId="77" applyNumberFormat="1" applyFont="1" applyFill="1" applyBorder="1" applyAlignment="1">
      <alignment horizontal="center" vertical="center" wrapText="1"/>
    </xf>
    <xf numFmtId="0" fontId="56" fillId="58" borderId="95" xfId="77" applyNumberFormat="1" applyFont="1" applyFill="1" applyBorder="1" applyAlignment="1">
      <alignment horizontal="center" vertical="center" wrapText="1"/>
    </xf>
    <xf numFmtId="0" fontId="56" fillId="58" borderId="96" xfId="77" applyNumberFormat="1" applyFont="1" applyFill="1" applyBorder="1" applyAlignment="1">
      <alignment horizontal="center" vertical="center" wrapText="1"/>
    </xf>
    <xf numFmtId="0" fontId="38" fillId="0" borderId="6" xfId="77" applyFont="1" applyFill="1" applyBorder="1" applyAlignment="1">
      <alignment horizontal="left" vertical="center" wrapText="1" indent="1"/>
    </xf>
    <xf numFmtId="0" fontId="38" fillId="0" borderId="38" xfId="77" applyFont="1" applyFill="1" applyBorder="1" applyAlignment="1">
      <alignment horizontal="left" vertical="center" wrapText="1" indent="1"/>
    </xf>
    <xf numFmtId="0" fontId="40" fillId="28" borderId="6" xfId="77" applyFont="1" applyFill="1" applyBorder="1" applyAlignment="1">
      <alignment horizontal="left" vertical="center" wrapText="1" indent="1"/>
    </xf>
    <xf numFmtId="0" fontId="40" fillId="28" borderId="38" xfId="77" applyFont="1" applyFill="1" applyBorder="1" applyAlignment="1">
      <alignment horizontal="left" vertical="center" wrapText="1" indent="1"/>
    </xf>
    <xf numFmtId="0" fontId="40" fillId="0" borderId="23" xfId="77" applyFont="1" applyFill="1" applyBorder="1" applyAlignment="1">
      <alignment horizontal="left" wrapText="1" indent="1"/>
    </xf>
    <xf numFmtId="0" fontId="40" fillId="0" borderId="37" xfId="77" applyFont="1" applyFill="1" applyBorder="1" applyAlignment="1">
      <alignment horizontal="left" wrapText="1" indent="1"/>
    </xf>
    <xf numFmtId="43" fontId="40" fillId="29" borderId="18" xfId="77" applyNumberFormat="1" applyFont="1" applyFill="1" applyBorder="1" applyAlignment="1">
      <alignment horizontal="left" vertical="center" indent="1"/>
    </xf>
    <xf numFmtId="43" fontId="40" fillId="29" borderId="5" xfId="77" applyNumberFormat="1" applyFont="1" applyFill="1" applyBorder="1" applyAlignment="1">
      <alignment horizontal="left" vertical="center" indent="1"/>
    </xf>
    <xf numFmtId="43" fontId="40" fillId="29" borderId="39" xfId="77" applyNumberFormat="1" applyFont="1" applyFill="1" applyBorder="1" applyAlignment="1">
      <alignment horizontal="left" vertical="center" indent="1"/>
    </xf>
  </cellXfs>
  <cellStyles count="114">
    <cellStyle name="0.0" xfId="1"/>
    <cellStyle name="20% - Ênfase1" xfId="2"/>
    <cellStyle name="20% - Ênfase2" xfId="3"/>
    <cellStyle name="20% - Ênfase3" xfId="4"/>
    <cellStyle name="20% - Ênfase4" xfId="5"/>
    <cellStyle name="20% - Ênfase5" xfId="6"/>
    <cellStyle name="20% - Ênfase6" xfId="7"/>
    <cellStyle name="40% - Ênfase1" xfId="8"/>
    <cellStyle name="40% - Ênfase2" xfId="9"/>
    <cellStyle name="40% - Ênfase3" xfId="10"/>
    <cellStyle name="40% - Ênfase4" xfId="11"/>
    <cellStyle name="40% - Ênfase5" xfId="12"/>
    <cellStyle name="40% - Ênfase6" xfId="13"/>
    <cellStyle name="60% - Ênfase1" xfId="14"/>
    <cellStyle name="60% - Ênfase2" xfId="15"/>
    <cellStyle name="60% - Ênfase3" xfId="16"/>
    <cellStyle name="60% - Ênfase4" xfId="17"/>
    <cellStyle name="60% - Ênfase5" xfId="18"/>
    <cellStyle name="60% - Ênfase6" xfId="19"/>
    <cellStyle name="ac" xfId="20"/>
    <cellStyle name="arial12" xfId="21"/>
    <cellStyle name="arial14" xfId="22"/>
    <cellStyle name="Bold 11" xfId="23"/>
    <cellStyle name="Bom" xfId="24"/>
    <cellStyle name="Cálculo" xfId="25"/>
    <cellStyle name="Célula de Verificação" xfId="26"/>
    <cellStyle name="Célula Vinculada" xfId="27"/>
    <cellStyle name="Comma" xfId="28" builtinId="3"/>
    <cellStyle name="Comma 2" xfId="29"/>
    <cellStyle name="Comma0" xfId="30"/>
    <cellStyle name="Currency (0)" xfId="31"/>
    <cellStyle name="Currency (2)" xfId="32"/>
    <cellStyle name="Date" xfId="33"/>
    <cellStyle name="Date-Time" xfId="34"/>
    <cellStyle name="Decimal 1" xfId="35"/>
    <cellStyle name="Decimal 2" xfId="36"/>
    <cellStyle name="Decimal 3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56"/>
    <cellStyle name="Euro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Grey" xfId="52"/>
    <cellStyle name="Header1" xfId="53"/>
    <cellStyle name="Header2" xfId="54"/>
    <cellStyle name="Incorreto" xfId="55"/>
    <cellStyle name="Input %" xfId="57"/>
    <cellStyle name="Input [yellow]" xfId="58"/>
    <cellStyle name="Input 1" xfId="59"/>
    <cellStyle name="Input 3" xfId="60"/>
    <cellStyle name="Millares [0]_Desembolsos1" xfId="61"/>
    <cellStyle name="Millares_Autofinanciamiento03" xfId="62"/>
    <cellStyle name="Milliers [0]_EDYAN" xfId="63"/>
    <cellStyle name="Milliers_EDYAN" xfId="64"/>
    <cellStyle name="Moneda [0]_RESULTS" xfId="65"/>
    <cellStyle name="Moneda_RESULTS" xfId="66"/>
    <cellStyle name="Monétaire [0]_EDYAN" xfId="67"/>
    <cellStyle name="Monétaire_EDYAN" xfId="68"/>
    <cellStyle name="Month" xfId="69"/>
    <cellStyle name="Neutra" xfId="70"/>
    <cellStyle name="no dec" xfId="71"/>
    <cellStyle name="Normal" xfId="0" builtinId="0"/>
    <cellStyle name="Normal - Style1" xfId="72"/>
    <cellStyle name="Normal 11" xfId="73"/>
    <cellStyle name="Normal 2" xfId="74"/>
    <cellStyle name="Normal_Custos março 23" xfId="75"/>
    <cellStyle name="Normal_Pasta1" xfId="76"/>
    <cellStyle name="Normal_Quadros Financeiros Prosamim para Carta Consulta V2" xfId="77"/>
    <cellStyle name="Normal_Quadros Financeiros Prosamim para Carta Consulta V2 2" xfId="78"/>
    <cellStyle name="Nota" xfId="79"/>
    <cellStyle name="Numero" xfId="80"/>
    <cellStyle name="padroes" xfId="81"/>
    <cellStyle name="Percent" xfId="82" builtinId="5"/>
    <cellStyle name="Percent ()" xfId="83"/>
    <cellStyle name="Percent (0)" xfId="84"/>
    <cellStyle name="Percent (1)" xfId="85"/>
    <cellStyle name="Percent [2]" xfId="86"/>
    <cellStyle name="Percent 1" xfId="87"/>
    <cellStyle name="Percent 2" xfId="88"/>
    <cellStyle name="Percent 3" xfId="89"/>
    <cellStyle name="Porcentagem 2" xfId="90"/>
    <cellStyle name="RAMEY" xfId="91"/>
    <cellStyle name="Ramey $k" xfId="92"/>
    <cellStyle name="RAMEY_P&amp;O BKUP" xfId="93"/>
    <cellStyle name="Saída" xfId="94"/>
    <cellStyle name="Separador de milhares 2" xfId="95"/>
    <cellStyle name="Separador de milhares 3" xfId="96"/>
    <cellStyle name="Shaded" xfId="97"/>
    <cellStyle name="sub-total" xfId="98"/>
    <cellStyle name="Sum" xfId="99"/>
    <cellStyle name="Sum %of HV" xfId="100"/>
    <cellStyle name="Texto de Aviso" xfId="101"/>
    <cellStyle name="Texto Explicativo" xfId="102"/>
    <cellStyle name="Thousands (0)" xfId="103"/>
    <cellStyle name="Thousands (1)" xfId="104"/>
    <cellStyle name="time" xfId="105"/>
    <cellStyle name="Título" xfId="106"/>
    <cellStyle name="Título 1" xfId="107"/>
    <cellStyle name="Título 2" xfId="108"/>
    <cellStyle name="Título 3" xfId="109"/>
    <cellStyle name="Título 4" xfId="110"/>
    <cellStyle name="Total" xfId="111" builtinId="25" customBuiltin="1"/>
    <cellStyle name="Underline 2" xfId="112"/>
    <cellStyle name="Year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0</xdr:row>
      <xdr:rowOff>76200</xdr:rowOff>
    </xdr:from>
    <xdr:to>
      <xdr:col>2</xdr:col>
      <xdr:colOff>958850</xdr:colOff>
      <xdr:row>2</xdr:row>
      <xdr:rowOff>114300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76200"/>
          <a:ext cx="1466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0</xdr:row>
      <xdr:rowOff>76200</xdr:rowOff>
    </xdr:from>
    <xdr:to>
      <xdr:col>2</xdr:col>
      <xdr:colOff>958850</xdr:colOff>
      <xdr:row>2</xdr:row>
      <xdr:rowOff>114300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175" y="76200"/>
          <a:ext cx="14668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uloc\Disco_C\Take-Off\Valdemi\TakeOff%202551%20-%20Filtrag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dbdocs.iadb.org/Ingresos/ppto%202001/PAPE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resos\ppto%202001\PAPE-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azi08\set\SCCP\SCCP%202004\LRF%202004\AnexosRREO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sa\c\INTERNET\Eudora\Attach\SBLO_PcP-AmpTPS_fora_CL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dbdocs.iadb.org/processo%20tps/EXCEL/Orcamentos/Aeroporto-Infraero-Navegan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dbdocs.iadb.org/Documents%20and%20Settings/All%20Users/Documentos/TrabAtual/Maues1/Prepara%202/Progra%20Finan/Cusots%20No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Projetos"/>
      <sheetName val="Esc 1,5"/>
      <sheetName val="Esc 3,0"/>
      <sheetName val="Esc 3ª"/>
      <sheetName val="Esc 3ªate3m"/>
      <sheetName val="B.Fora"/>
      <sheetName val="Rachão"/>
      <sheetName val="Reat.Areia"/>
      <sheetName val="Base 40-60"/>
      <sheetName val="Reg.8%"/>
      <sheetName val="F.3ª"/>
      <sheetName val="F.14mm"/>
      <sheetName val="Conc 10"/>
      <sheetName val="Conc 20"/>
      <sheetName val="Conc 30 (SP)"/>
      <sheetName val="Cimbram"/>
      <sheetName val="M.Poliet"/>
      <sheetName val="Isopor 15mm"/>
      <sheetName val="JSerr"/>
      <sheetName val="BarraTf"/>
      <sheetName val="JMast"/>
      <sheetName val="JF O-22"/>
      <sheetName val="G.Normal"/>
      <sheetName val="ASTM-A-36"/>
      <sheetName val="SAE-1020"/>
      <sheetName val="Aço &lt;=12,5"/>
      <sheetName val="Aço &gt;12,5"/>
      <sheetName val="FornTransp"/>
      <sheetName val="Reaterro 1ª"/>
      <sheetName val="Brita Comp"/>
      <sheetName val="Forma 3ª"/>
      <sheetName val="Forma 14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E-2002"/>
      <sheetName val="EJEC98-01"/>
      <sheetName val="EMISION"/>
      <sheetName val="SUB.1000"/>
      <sheetName val="PAPE-2001"/>
      <sheetName val="CEDEIM"/>
      <sheetName val="adi99"/>
      <sheetName val="PAPE-99"/>
      <sheetName val="PAPE-98"/>
      <sheetName val="EMIS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E-2002"/>
      <sheetName val="EJEC98-01"/>
      <sheetName val="EMISION"/>
      <sheetName val="SUB.1000"/>
      <sheetName val="PAPE-2001"/>
      <sheetName val="CEDEIM"/>
      <sheetName val="adi99"/>
      <sheetName val="PAPE-99"/>
      <sheetName val="PAPE-98"/>
      <sheetName val="EMIS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-BALANCO ORCAMENTARIO"/>
      <sheetName val="Anexo II-DESP FUNC-SUBFUNC"/>
      <sheetName val="Anexo III - RCL"/>
      <sheetName val="Anexo IV - PREVID REGIME GERAL"/>
      <sheetName val="Anexo V - PREVID SERV PUB"/>
      <sheetName val="Anexo VI - RES NOM"/>
      <sheetName val="Anexo VII - RES PRIM"/>
      <sheetName val="Anexo VIII - RES PRIM UNIAO"/>
      <sheetName val="Anexo IX - RP PODER E ORGAO"/>
      <sheetName val="Anexo X - ENSINO"/>
      <sheetName val="Anexo XI-REC OP CRED E DESP CAP"/>
      <sheetName val="Anexo XII-PROJ AT REG GERAL RES"/>
      <sheetName val="Anexo XII-PROJ AT REG GERAL HIP"/>
      <sheetName val="Anexo XIII-PROJ AT REG SERV"/>
      <sheetName val="Anexo XIV-ALIEN ATIVOS"/>
      <sheetName val="Anexo XV - SAUDE UNIAO"/>
      <sheetName val="Anexo XVI - SAUDE ESTADOS"/>
      <sheetName val="Anexo XVI - SAUDE MUNICIPIOS"/>
      <sheetName val="Anexo XVII - Simplific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étrica"/>
      <sheetName val="Orçamento Global"/>
      <sheetName val="Hidrossanitário"/>
    </sheetNames>
    <sheetDataSet>
      <sheetData sheetId="0" refreshError="1"/>
      <sheetData sheetId="1" refreshError="1">
        <row r="38">
          <cell r="D38">
            <v>0.2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com preço-INFRAERO"/>
      <sheetName val="Orçamento sem preço"/>
      <sheetName val="ABAPAN"/>
      <sheetName val="CRONO"/>
      <sheetName val=" BDI"/>
      <sheetName val="ENCARGOS "/>
      <sheetName val="Plan3"/>
      <sheetName val="Plan4"/>
      <sheetName val="Plan5"/>
      <sheetName val="Plan6"/>
      <sheetName val="Plan7"/>
      <sheetName val="Plan8"/>
      <sheetName val="Plan9"/>
      <sheetName val="Plan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"/>
      <sheetName val="MatrizUS$"/>
      <sheetName val="MatrizR$"/>
      <sheetName val="Custos"/>
      <sheetName val="Crono"/>
      <sheetName val="Ari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Gerenciamento e Supervisão</v>
          </cell>
        </row>
        <row r="45">
          <cell r="D45" t="str">
            <v>Contingências Físicas e Financeiras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108"/>
  <sheetViews>
    <sheetView showGridLines="0" topLeftCell="A4" zoomScale="85" zoomScaleNormal="85" workbookViewId="0">
      <selection activeCell="I14" sqref="I14"/>
    </sheetView>
  </sheetViews>
  <sheetFormatPr defaultRowHeight="14.1" customHeight="1"/>
  <cols>
    <col min="1" max="1" width="3" style="432" customWidth="1"/>
    <col min="2" max="2" width="6.28515625" style="543" customWidth="1"/>
    <col min="3" max="3" width="3.42578125" style="543" customWidth="1"/>
    <col min="4" max="4" width="59.7109375" style="432" customWidth="1"/>
    <col min="5" max="5" width="11.140625" style="433" customWidth="1"/>
    <col min="6" max="6" width="16.5703125" style="433" customWidth="1"/>
    <col min="7" max="7" width="16.5703125" style="434" customWidth="1"/>
    <col min="8" max="8" width="15.140625" style="434" customWidth="1"/>
    <col min="9" max="9" width="14.28515625" style="434" customWidth="1"/>
    <col min="10" max="10" width="14.140625" style="435" customWidth="1"/>
    <col min="11" max="11" width="16.42578125" style="435" customWidth="1"/>
    <col min="12" max="12" width="15.42578125" style="435" customWidth="1"/>
    <col min="13" max="13" width="15.7109375" style="435" customWidth="1"/>
    <col min="14" max="14" width="16.140625" style="435" bestFit="1" customWidth="1"/>
    <col min="15" max="15" width="16.140625" style="436" bestFit="1" customWidth="1"/>
    <col min="16" max="16" width="11.7109375" style="432" customWidth="1"/>
    <col min="17" max="16384" width="9.140625" style="432"/>
  </cols>
  <sheetData>
    <row r="1" spans="2:15" ht="14.1" customHeight="1">
      <c r="B1" s="522"/>
      <c r="C1" s="522"/>
    </row>
    <row r="2" spans="2:15" ht="14.1" customHeight="1">
      <c r="B2" s="523"/>
      <c r="C2" s="523"/>
    </row>
    <row r="3" spans="2:15" ht="14.1" customHeight="1">
      <c r="B3" s="552"/>
      <c r="C3" s="552"/>
      <c r="D3" s="553"/>
    </row>
    <row r="4" spans="2:15" ht="33" customHeight="1" thickBot="1">
      <c r="B4" s="554" t="s">
        <v>152</v>
      </c>
      <c r="C4" s="552"/>
      <c r="D4" s="553"/>
      <c r="E4" s="551"/>
      <c r="F4" s="551"/>
      <c r="G4" s="551"/>
      <c r="H4" s="551"/>
      <c r="I4" s="551"/>
      <c r="J4" s="551"/>
      <c r="K4" s="551"/>
      <c r="L4" s="551"/>
      <c r="M4" s="438"/>
      <c r="N4" s="439"/>
    </row>
    <row r="5" spans="2:15" ht="14.1" customHeight="1" thickTop="1">
      <c r="B5" s="553"/>
      <c r="C5" s="552"/>
      <c r="D5" s="553"/>
      <c r="E5" s="437"/>
      <c r="F5" s="437"/>
    </row>
    <row r="6" spans="2:15" ht="14.1" customHeight="1">
      <c r="B6" s="553"/>
      <c r="C6" s="555"/>
      <c r="D6" s="553"/>
    </row>
    <row r="7" spans="2:15" ht="13.5" customHeight="1">
      <c r="B7" s="553"/>
      <c r="C7" s="556"/>
      <c r="D7" s="553"/>
    </row>
    <row r="8" spans="2:15" ht="33" customHeight="1" thickBot="1">
      <c r="B8" s="554" t="s">
        <v>132</v>
      </c>
      <c r="C8" s="557"/>
      <c r="D8" s="553"/>
      <c r="E8" s="551"/>
      <c r="F8" s="551"/>
      <c r="G8" s="551"/>
      <c r="H8" s="551"/>
      <c r="I8" s="551"/>
      <c r="J8" s="551"/>
      <c r="K8" s="551"/>
      <c r="L8" s="551"/>
      <c r="M8" s="438" t="s">
        <v>3</v>
      </c>
      <c r="N8" s="439">
        <v>2</v>
      </c>
    </row>
    <row r="9" spans="2:15" ht="23.25" customHeight="1" thickTop="1">
      <c r="B9" s="784" t="s">
        <v>29</v>
      </c>
      <c r="C9" s="785"/>
      <c r="D9" s="785"/>
      <c r="E9" s="794" t="s">
        <v>133</v>
      </c>
      <c r="F9" s="794" t="s">
        <v>134</v>
      </c>
      <c r="G9" s="797" t="s">
        <v>135</v>
      </c>
      <c r="H9" s="797" t="s">
        <v>136</v>
      </c>
      <c r="I9" s="797" t="s">
        <v>137</v>
      </c>
      <c r="J9" s="775" t="s">
        <v>138</v>
      </c>
      <c r="K9" s="776"/>
      <c r="L9" s="776"/>
      <c r="M9" s="777"/>
      <c r="N9" s="778" t="s">
        <v>139</v>
      </c>
      <c r="O9" s="779"/>
    </row>
    <row r="10" spans="2:15" ht="17.25" customHeight="1">
      <c r="B10" s="786"/>
      <c r="C10" s="787"/>
      <c r="D10" s="787"/>
      <c r="E10" s="795"/>
      <c r="F10" s="795"/>
      <c r="G10" s="798"/>
      <c r="H10" s="798"/>
      <c r="I10" s="798"/>
      <c r="J10" s="782">
        <v>2013</v>
      </c>
      <c r="K10" s="783"/>
      <c r="L10" s="477">
        <v>2014</v>
      </c>
      <c r="M10" s="478"/>
      <c r="N10" s="780"/>
      <c r="O10" s="781"/>
    </row>
    <row r="11" spans="2:15" ht="21.75" customHeight="1" thickBot="1">
      <c r="B11" s="788"/>
      <c r="C11" s="789"/>
      <c r="D11" s="789"/>
      <c r="E11" s="796"/>
      <c r="F11" s="796"/>
      <c r="G11" s="799"/>
      <c r="H11" s="799"/>
      <c r="I11" s="799"/>
      <c r="J11" s="440" t="s">
        <v>143</v>
      </c>
      <c r="K11" s="440" t="s">
        <v>140</v>
      </c>
      <c r="L11" s="440" t="s">
        <v>141</v>
      </c>
      <c r="M11" s="441" t="s">
        <v>142</v>
      </c>
      <c r="N11" s="442" t="s">
        <v>144</v>
      </c>
      <c r="O11" s="443" t="s">
        <v>145</v>
      </c>
    </row>
    <row r="12" spans="2:15" s="450" customFormat="1" ht="21.75" customHeight="1">
      <c r="B12" s="790">
        <v>1</v>
      </c>
      <c r="C12" s="791"/>
      <c r="D12" s="525" t="s">
        <v>13</v>
      </c>
      <c r="E12" s="463"/>
      <c r="F12" s="444"/>
      <c r="G12" s="445"/>
      <c r="H12" s="445"/>
      <c r="I12" s="445"/>
      <c r="J12" s="446"/>
      <c r="K12" s="446"/>
      <c r="L12" s="446"/>
      <c r="M12" s="447"/>
      <c r="N12" s="448"/>
      <c r="O12" s="449">
        <f>O13</f>
        <v>1985</v>
      </c>
    </row>
    <row r="13" spans="2:15" s="450" customFormat="1" ht="32.25" customHeight="1">
      <c r="B13" s="773" t="s">
        <v>14</v>
      </c>
      <c r="C13" s="774"/>
      <c r="D13" s="526" t="s">
        <v>38</v>
      </c>
      <c r="E13" s="452"/>
      <c r="F13" s="452"/>
      <c r="G13" s="452"/>
      <c r="H13" s="452"/>
      <c r="I13" s="452"/>
      <c r="J13" s="453">
        <f>SUM(J14:J16)</f>
        <v>0</v>
      </c>
      <c r="K13" s="453">
        <f>SUM(K14:K16)</f>
        <v>90</v>
      </c>
      <c r="L13" s="453">
        <f>SUM(L14:L16)</f>
        <v>1022.5</v>
      </c>
      <c r="M13" s="453">
        <f>SUM(M14:M16)</f>
        <v>872.5</v>
      </c>
      <c r="N13" s="460">
        <f>O13*2</f>
        <v>3970</v>
      </c>
      <c r="O13" s="461">
        <f>SUM(J13:M13)</f>
        <v>1985</v>
      </c>
    </row>
    <row r="14" spans="2:15" s="450" customFormat="1" ht="33.75" customHeight="1">
      <c r="B14" s="762" t="s">
        <v>195</v>
      </c>
      <c r="C14" s="762"/>
      <c r="D14" s="527" t="s">
        <v>67</v>
      </c>
      <c r="E14" s="456">
        <v>3</v>
      </c>
      <c r="F14" s="456" t="s">
        <v>153</v>
      </c>
      <c r="G14" s="457" t="s">
        <v>148</v>
      </c>
      <c r="H14" s="457" t="s">
        <v>149</v>
      </c>
      <c r="I14" s="457" t="s">
        <v>156</v>
      </c>
      <c r="J14" s="458">
        <v>0</v>
      </c>
      <c r="K14" s="458">
        <v>80</v>
      </c>
      <c r="L14" s="458">
        <v>80</v>
      </c>
      <c r="M14" s="458">
        <v>120</v>
      </c>
      <c r="N14" s="460">
        <f>O14*2</f>
        <v>560</v>
      </c>
      <c r="O14" s="461">
        <f>SUM(J14:M14)</f>
        <v>280</v>
      </c>
    </row>
    <row r="15" spans="2:15" s="450" customFormat="1" ht="33.75" customHeight="1">
      <c r="B15" s="792" t="s">
        <v>196</v>
      </c>
      <c r="C15" s="793"/>
      <c r="D15" s="528" t="s">
        <v>66</v>
      </c>
      <c r="E15" s="456"/>
      <c r="F15" s="456" t="s">
        <v>106</v>
      </c>
      <c r="G15" s="457" t="str">
        <f>G14</f>
        <v>3º Trim 2013</v>
      </c>
      <c r="H15" s="457" t="str">
        <f>H14</f>
        <v>4º Trim 2013</v>
      </c>
      <c r="I15" s="457" t="s">
        <v>158</v>
      </c>
      <c r="J15" s="458"/>
      <c r="K15" s="458">
        <v>10</v>
      </c>
      <c r="L15" s="458">
        <v>25</v>
      </c>
      <c r="M15" s="459">
        <v>15</v>
      </c>
      <c r="N15" s="460">
        <f>O15*2</f>
        <v>100</v>
      </c>
      <c r="O15" s="461">
        <f>SUM(J15:M15)</f>
        <v>50</v>
      </c>
    </row>
    <row r="16" spans="2:15" s="450" customFormat="1" ht="53.25" customHeight="1">
      <c r="B16" s="762" t="s">
        <v>197</v>
      </c>
      <c r="C16" s="762"/>
      <c r="D16" s="527" t="s">
        <v>40</v>
      </c>
      <c r="E16" s="456">
        <v>1</v>
      </c>
      <c r="F16" s="456" t="s">
        <v>105</v>
      </c>
      <c r="G16" s="457" t="s">
        <v>148</v>
      </c>
      <c r="H16" s="457" t="s">
        <v>150</v>
      </c>
      <c r="I16" s="457" t="str">
        <f>I14</f>
        <v>2º Trim 2019</v>
      </c>
      <c r="J16" s="458"/>
      <c r="K16" s="458"/>
      <c r="L16" s="458">
        <f>720+197.5</f>
        <v>917.5</v>
      </c>
      <c r="M16" s="458">
        <f>540+197.5</f>
        <v>737.5</v>
      </c>
      <c r="N16" s="460">
        <f>O16*2</f>
        <v>3310</v>
      </c>
      <c r="O16" s="461">
        <f>SUM(J16:M16)</f>
        <v>1655</v>
      </c>
    </row>
    <row r="17" spans="2:16" s="450" customFormat="1" ht="32.25" customHeight="1">
      <c r="B17" s="762" t="s">
        <v>198</v>
      </c>
      <c r="C17" s="762"/>
      <c r="D17" s="527" t="s">
        <v>42</v>
      </c>
      <c r="E17" s="456" t="s">
        <v>146</v>
      </c>
      <c r="F17" s="451"/>
      <c r="G17" s="452"/>
      <c r="H17" s="452"/>
      <c r="I17" s="452"/>
      <c r="J17" s="453">
        <v>0</v>
      </c>
      <c r="K17" s="453">
        <v>0</v>
      </c>
      <c r="L17" s="453">
        <v>0</v>
      </c>
      <c r="M17" s="454">
        <v>0</v>
      </c>
      <c r="N17" s="455">
        <v>0</v>
      </c>
      <c r="O17" s="461">
        <v>0</v>
      </c>
    </row>
    <row r="18" spans="2:16" s="450" customFormat="1" ht="21.75" customHeight="1">
      <c r="B18" s="771">
        <v>2</v>
      </c>
      <c r="C18" s="772"/>
      <c r="D18" s="529" t="s">
        <v>16</v>
      </c>
      <c r="E18" s="463"/>
      <c r="F18" s="463"/>
      <c r="G18" s="464"/>
      <c r="H18" s="464"/>
      <c r="I18" s="464"/>
      <c r="J18" s="465"/>
      <c r="K18" s="465"/>
      <c r="L18" s="465"/>
      <c r="M18" s="466"/>
      <c r="N18" s="467"/>
      <c r="O18" s="467">
        <v>65027.9</v>
      </c>
    </row>
    <row r="19" spans="2:16" s="450" customFormat="1" ht="15.75">
      <c r="B19" s="773" t="s">
        <v>17</v>
      </c>
      <c r="C19" s="774"/>
      <c r="D19" s="530" t="s">
        <v>166</v>
      </c>
      <c r="E19" s="452" t="s">
        <v>146</v>
      </c>
      <c r="F19" s="452"/>
      <c r="G19" s="481"/>
      <c r="H19" s="481"/>
      <c r="I19" s="482"/>
      <c r="J19" s="470">
        <f t="shared" ref="J19:O19" si="0">SUM(J20:J28)</f>
        <v>1750</v>
      </c>
      <c r="K19" s="470">
        <f t="shared" si="0"/>
        <v>450</v>
      </c>
      <c r="L19" s="470">
        <f t="shared" si="0"/>
        <v>450</v>
      </c>
      <c r="M19" s="470">
        <f t="shared" si="0"/>
        <v>792.5</v>
      </c>
      <c r="N19" s="470">
        <f t="shared" si="0"/>
        <v>6885</v>
      </c>
      <c r="O19" s="470">
        <f t="shared" si="0"/>
        <v>3442.5</v>
      </c>
    </row>
    <row r="20" spans="2:16" s="468" customFormat="1" ht="19.5" customHeight="1">
      <c r="B20" s="768" t="s">
        <v>200</v>
      </c>
      <c r="C20" s="768"/>
      <c r="D20" s="536" t="s">
        <v>73</v>
      </c>
      <c r="E20" s="479">
        <v>1</v>
      </c>
      <c r="F20" s="456"/>
      <c r="G20" s="457"/>
      <c r="H20" s="457"/>
      <c r="I20" s="457"/>
      <c r="J20" s="458">
        <v>1750</v>
      </c>
      <c r="K20" s="458"/>
      <c r="L20" s="458"/>
      <c r="M20" s="459"/>
      <c r="N20" s="460">
        <f>O20*2</f>
        <v>3500</v>
      </c>
      <c r="O20" s="461">
        <f>SUM(J20:M20)</f>
        <v>1750</v>
      </c>
    </row>
    <row r="21" spans="2:16" s="450" customFormat="1" ht="35.25" customHeight="1">
      <c r="B21" s="762" t="s">
        <v>201</v>
      </c>
      <c r="C21" s="762"/>
      <c r="D21" s="531" t="s">
        <v>74</v>
      </c>
    </row>
    <row r="22" spans="2:16" s="468" customFormat="1" ht="34.5" customHeight="1">
      <c r="B22" s="762" t="s">
        <v>202</v>
      </c>
      <c r="C22" s="762"/>
      <c r="D22" s="532" t="s">
        <v>239</v>
      </c>
      <c r="E22" s="479">
        <v>1</v>
      </c>
      <c r="F22" s="456" t="s">
        <v>155</v>
      </c>
      <c r="G22" s="457"/>
      <c r="H22" s="457"/>
      <c r="I22" s="457"/>
      <c r="J22" s="458"/>
      <c r="K22" s="458">
        <v>450</v>
      </c>
      <c r="L22" s="458">
        <v>450</v>
      </c>
      <c r="M22" s="458">
        <v>450</v>
      </c>
      <c r="N22" s="460">
        <f>O22*2</f>
        <v>2700</v>
      </c>
      <c r="O22" s="461">
        <f>SUM(J22:M22)</f>
        <v>1350</v>
      </c>
    </row>
    <row r="23" spans="2:16" s="468" customFormat="1" ht="36" customHeight="1">
      <c r="B23" s="762" t="s">
        <v>203</v>
      </c>
      <c r="C23" s="762"/>
      <c r="D23" s="531" t="s">
        <v>177</v>
      </c>
    </row>
    <row r="24" spans="2:16" s="468" customFormat="1" ht="42" customHeight="1">
      <c r="B24" s="762" t="s">
        <v>204</v>
      </c>
      <c r="C24" s="762"/>
      <c r="D24" s="531" t="s">
        <v>169</v>
      </c>
    </row>
    <row r="25" spans="2:16" s="450" customFormat="1" ht="19.5" customHeight="1">
      <c r="B25" s="762" t="s">
        <v>205</v>
      </c>
      <c r="C25" s="762"/>
      <c r="D25" s="531" t="s">
        <v>78</v>
      </c>
      <c r="E25" s="479">
        <v>1</v>
      </c>
      <c r="F25" s="456" t="s">
        <v>105</v>
      </c>
      <c r="G25" s="457"/>
      <c r="H25" s="457"/>
      <c r="I25" s="457"/>
      <c r="J25" s="458"/>
      <c r="K25" s="458"/>
      <c r="L25" s="458"/>
      <c r="M25" s="459">
        <v>150</v>
      </c>
      <c r="N25" s="460">
        <f>O25*2</f>
        <v>300</v>
      </c>
      <c r="O25" s="461">
        <f>SUM(J25:M25)</f>
        <v>150</v>
      </c>
      <c r="P25" s="468"/>
    </row>
    <row r="26" spans="2:16" s="468" customFormat="1" ht="27" customHeight="1">
      <c r="B26" s="762" t="s">
        <v>206</v>
      </c>
      <c r="C26" s="762"/>
      <c r="D26" s="531" t="s">
        <v>168</v>
      </c>
    </row>
    <row r="27" spans="2:16" s="450" customFormat="1" ht="30.75" customHeight="1">
      <c r="B27" s="762" t="s">
        <v>207</v>
      </c>
      <c r="C27" s="762"/>
      <c r="D27" s="531" t="s">
        <v>80</v>
      </c>
      <c r="E27" s="456">
        <v>1</v>
      </c>
      <c r="F27" s="456" t="s">
        <v>105</v>
      </c>
      <c r="G27" s="457"/>
      <c r="H27" s="457"/>
      <c r="I27" s="457"/>
      <c r="J27" s="458"/>
      <c r="K27" s="458"/>
      <c r="L27" s="458"/>
      <c r="M27" s="459">
        <v>112.5</v>
      </c>
      <c r="N27" s="460">
        <f>O27*2</f>
        <v>225</v>
      </c>
      <c r="O27" s="461">
        <f>SUM(J27:M27)</f>
        <v>112.5</v>
      </c>
      <c r="P27" s="468"/>
    </row>
    <row r="28" spans="2:16" s="450" customFormat="1" ht="47.25" customHeight="1">
      <c r="B28" s="762" t="s">
        <v>208</v>
      </c>
      <c r="C28" s="762"/>
      <c r="D28" s="531" t="s">
        <v>167</v>
      </c>
      <c r="E28" s="479">
        <v>1</v>
      </c>
      <c r="F28" s="456" t="s">
        <v>162</v>
      </c>
      <c r="G28" s="457"/>
      <c r="H28" s="457"/>
      <c r="I28" s="457"/>
      <c r="J28" s="458"/>
      <c r="K28" s="458"/>
      <c r="L28" s="458"/>
      <c r="M28" s="459">
        <v>80</v>
      </c>
      <c r="N28" s="460">
        <f>O28*2</f>
        <v>160</v>
      </c>
      <c r="O28" s="461">
        <f>SUM(J28:M28)</f>
        <v>80</v>
      </c>
    </row>
    <row r="29" spans="2:16" s="450" customFormat="1" ht="33.75" customHeight="1">
      <c r="B29" s="762" t="s">
        <v>209</v>
      </c>
      <c r="C29" s="762"/>
      <c r="D29" s="531" t="s">
        <v>82</v>
      </c>
    </row>
    <row r="30" spans="2:16" s="450" customFormat="1" ht="37.5" customHeight="1">
      <c r="B30" s="762" t="s">
        <v>210</v>
      </c>
      <c r="C30" s="762"/>
      <c r="D30" s="533" t="s">
        <v>83</v>
      </c>
    </row>
    <row r="31" spans="2:16" s="450" customFormat="1" ht="39.75" customHeight="1">
      <c r="B31" s="762" t="s">
        <v>241</v>
      </c>
      <c r="C31" s="762"/>
      <c r="D31" s="531" t="s">
        <v>242</v>
      </c>
    </row>
    <row r="32" spans="2:16" s="450" customFormat="1" ht="54.75" customHeight="1">
      <c r="B32" s="769" t="s">
        <v>18</v>
      </c>
      <c r="C32" s="770"/>
      <c r="D32" s="534" t="s">
        <v>70</v>
      </c>
      <c r="E32" s="520"/>
      <c r="F32" s="469"/>
      <c r="G32" s="452"/>
      <c r="H32" s="452"/>
      <c r="I32" s="452"/>
      <c r="J32" s="470">
        <f t="shared" ref="J32:O32" si="1">SUM(J33:J43)</f>
        <v>16175</v>
      </c>
      <c r="K32" s="470">
        <f t="shared" si="1"/>
        <v>13959.5</v>
      </c>
      <c r="L32" s="470">
        <f t="shared" si="1"/>
        <v>16987.5</v>
      </c>
      <c r="M32" s="470">
        <f t="shared" si="1"/>
        <v>13601</v>
      </c>
      <c r="N32" s="470">
        <f t="shared" si="1"/>
        <v>121446</v>
      </c>
      <c r="O32" s="470">
        <f t="shared" si="1"/>
        <v>60723</v>
      </c>
    </row>
    <row r="33" spans="2:32" s="450" customFormat="1" ht="48" customHeight="1">
      <c r="B33" s="762" t="s">
        <v>211</v>
      </c>
      <c r="C33" s="762"/>
      <c r="D33" s="527" t="s">
        <v>178</v>
      </c>
      <c r="E33" s="456">
        <v>1</v>
      </c>
      <c r="F33" s="456" t="s">
        <v>154</v>
      </c>
      <c r="G33" s="457" t="str">
        <f>I15</f>
        <v>1º Trim 2014</v>
      </c>
      <c r="H33" s="457" t="s">
        <v>150</v>
      </c>
      <c r="I33" s="457" t="s">
        <v>160</v>
      </c>
      <c r="J33" s="458"/>
      <c r="K33" s="458"/>
      <c r="L33" s="458"/>
      <c r="M33" s="459">
        <v>231</v>
      </c>
      <c r="N33" s="460">
        <f>O33*2</f>
        <v>462</v>
      </c>
      <c r="O33" s="461">
        <f>SUM(J33:M33)</f>
        <v>231</v>
      </c>
      <c r="P33" s="468"/>
    </row>
    <row r="34" spans="2:32" s="450" customFormat="1" ht="48.75" customHeight="1">
      <c r="B34" s="762" t="s">
        <v>212</v>
      </c>
      <c r="C34" s="762"/>
      <c r="D34" s="532" t="s">
        <v>84</v>
      </c>
      <c r="E34" s="456">
        <v>1</v>
      </c>
      <c r="F34" s="456" t="s">
        <v>155</v>
      </c>
      <c r="G34" s="457" t="str">
        <f>G14</f>
        <v>3º Trim 2013</v>
      </c>
      <c r="H34" s="457" t="str">
        <f>H14</f>
        <v>4º Trim 2013</v>
      </c>
      <c r="I34" s="457" t="s">
        <v>161</v>
      </c>
      <c r="J34" s="458"/>
      <c r="K34" s="458">
        <v>315.00000000000006</v>
      </c>
      <c r="L34" s="458">
        <v>1125</v>
      </c>
      <c r="M34" s="459">
        <v>900</v>
      </c>
      <c r="N34" s="460">
        <f>O34*2</f>
        <v>4680</v>
      </c>
      <c r="O34" s="461">
        <f>SUM(J34:M34)</f>
        <v>2340</v>
      </c>
    </row>
    <row r="35" spans="2:32" s="450" customFormat="1" ht="47.25" customHeight="1">
      <c r="B35" s="762" t="s">
        <v>213</v>
      </c>
      <c r="C35" s="762"/>
      <c r="D35" s="532" t="s">
        <v>85</v>
      </c>
      <c r="E35" s="456">
        <v>1</v>
      </c>
      <c r="F35" s="456" t="s">
        <v>155</v>
      </c>
      <c r="G35" s="457" t="str">
        <f>G34</f>
        <v>3º Trim 2013</v>
      </c>
      <c r="H35" s="457" t="str">
        <f>H34</f>
        <v>4º Trim 2013</v>
      </c>
      <c r="I35" s="457" t="str">
        <f>I34</f>
        <v>1º Trim 2015</v>
      </c>
      <c r="J35" s="458"/>
      <c r="K35" s="458">
        <v>532</v>
      </c>
      <c r="L35" s="458">
        <v>1900</v>
      </c>
      <c r="M35" s="459">
        <v>1520</v>
      </c>
      <c r="N35" s="460">
        <f>O35*2</f>
        <v>7904</v>
      </c>
      <c r="O35" s="461">
        <f>SUM(J35:M35)</f>
        <v>3952</v>
      </c>
    </row>
    <row r="36" spans="2:32" s="450" customFormat="1" ht="55.5" customHeight="1">
      <c r="B36" s="762" t="s">
        <v>214</v>
      </c>
      <c r="C36" s="762"/>
      <c r="D36" s="532" t="s">
        <v>86</v>
      </c>
    </row>
    <row r="37" spans="2:32" s="450" customFormat="1" ht="52.5" customHeight="1">
      <c r="B37" s="762" t="s">
        <v>215</v>
      </c>
      <c r="C37" s="762"/>
      <c r="D37" s="535" t="s">
        <v>186</v>
      </c>
    </row>
    <row r="38" spans="2:32" s="450" customFormat="1" ht="72.75" customHeight="1">
      <c r="B38" s="768" t="s">
        <v>216</v>
      </c>
      <c r="C38" s="768"/>
      <c r="D38" s="536" t="s">
        <v>88</v>
      </c>
      <c r="E38" s="456">
        <v>1</v>
      </c>
      <c r="F38" s="456" t="s">
        <v>155</v>
      </c>
      <c r="G38" s="457" t="str">
        <f>G15</f>
        <v>3º Trim 2013</v>
      </c>
      <c r="H38" s="457" t="str">
        <f>G38</f>
        <v>3º Trim 2013</v>
      </c>
      <c r="I38" s="457" t="str">
        <f>H14</f>
        <v>4º Trim 2013</v>
      </c>
      <c r="J38" s="493">
        <v>3000</v>
      </c>
      <c r="K38" s="458">
        <v>3000</v>
      </c>
      <c r="L38" s="458"/>
      <c r="M38" s="459"/>
      <c r="N38" s="460">
        <f t="shared" ref="N38:N43" si="2">O38*2</f>
        <v>12000</v>
      </c>
      <c r="O38" s="461">
        <f t="shared" ref="O38:O43" si="3">SUM(J38:M38)</f>
        <v>6000</v>
      </c>
    </row>
    <row r="39" spans="2:32" s="450" customFormat="1" ht="40.5" customHeight="1">
      <c r="B39" s="768" t="s">
        <v>217</v>
      </c>
      <c r="C39" s="768"/>
      <c r="D39" s="536" t="s">
        <v>89</v>
      </c>
      <c r="E39" s="456">
        <v>1</v>
      </c>
      <c r="F39" s="456" t="s">
        <v>155</v>
      </c>
      <c r="G39" s="457" t="str">
        <f>G38</f>
        <v>3º Trim 2013</v>
      </c>
      <c r="H39" s="457" t="str">
        <f>G39</f>
        <v>3º Trim 2013</v>
      </c>
      <c r="I39" s="457" t="str">
        <f>H34</f>
        <v>4º Trim 2013</v>
      </c>
      <c r="J39" s="493">
        <v>3000</v>
      </c>
      <c r="K39" s="458">
        <v>2100</v>
      </c>
      <c r="L39" s="458">
        <v>2100</v>
      </c>
      <c r="M39" s="459">
        <v>1950</v>
      </c>
      <c r="N39" s="460">
        <f t="shared" si="2"/>
        <v>18300</v>
      </c>
      <c r="O39" s="461">
        <f t="shared" si="3"/>
        <v>9150</v>
      </c>
    </row>
    <row r="40" spans="2:32" s="450" customFormat="1" ht="70.5" customHeight="1">
      <c r="B40" s="768" t="s">
        <v>218</v>
      </c>
      <c r="C40" s="768"/>
      <c r="D40" s="536" t="s">
        <v>90</v>
      </c>
      <c r="E40" s="456">
        <v>1</v>
      </c>
      <c r="F40" s="456" t="s">
        <v>155</v>
      </c>
      <c r="G40" s="457" t="str">
        <f>G39</f>
        <v>3º Trim 2013</v>
      </c>
      <c r="H40" s="457" t="s">
        <v>148</v>
      </c>
      <c r="I40" s="457" t="s">
        <v>147</v>
      </c>
      <c r="J40" s="493">
        <v>3500</v>
      </c>
      <c r="K40" s="458">
        <v>2450.0000000000005</v>
      </c>
      <c r="L40" s="458">
        <v>1925</v>
      </c>
      <c r="M40" s="459">
        <v>1925</v>
      </c>
      <c r="N40" s="460">
        <f t="shared" si="2"/>
        <v>19600</v>
      </c>
      <c r="O40" s="461">
        <f t="shared" si="3"/>
        <v>9800</v>
      </c>
    </row>
    <row r="41" spans="2:32" s="450" customFormat="1" ht="70.5" customHeight="1">
      <c r="B41" s="768" t="s">
        <v>219</v>
      </c>
      <c r="C41" s="768"/>
      <c r="D41" s="536" t="s">
        <v>91</v>
      </c>
      <c r="E41" s="456">
        <v>1</v>
      </c>
      <c r="F41" s="456" t="s">
        <v>155</v>
      </c>
      <c r="G41" s="457" t="str">
        <f>G34</f>
        <v>3º Trim 2013</v>
      </c>
      <c r="H41" s="457" t="str">
        <f>H33</f>
        <v>2º Trim 2014</v>
      </c>
      <c r="I41" s="457" t="str">
        <f>I40</f>
        <v>2º Trim 2015</v>
      </c>
      <c r="J41" s="493"/>
      <c r="K41" s="458"/>
      <c r="L41" s="458">
        <v>4375</v>
      </c>
      <c r="M41" s="459">
        <v>2625</v>
      </c>
      <c r="N41" s="460">
        <f t="shared" si="2"/>
        <v>14000</v>
      </c>
      <c r="O41" s="461">
        <f t="shared" si="3"/>
        <v>7000</v>
      </c>
    </row>
    <row r="42" spans="2:32" s="450" customFormat="1" ht="52.5" customHeight="1">
      <c r="B42" s="768" t="s">
        <v>220</v>
      </c>
      <c r="C42" s="768"/>
      <c r="D42" s="536" t="s">
        <v>92</v>
      </c>
      <c r="E42" s="456">
        <v>1</v>
      </c>
      <c r="F42" s="456" t="s">
        <v>155</v>
      </c>
      <c r="G42" s="457" t="str">
        <f>G41</f>
        <v>3º Trim 2013</v>
      </c>
      <c r="H42" s="457" t="str">
        <f>H35</f>
        <v>4º Trim 2013</v>
      </c>
      <c r="I42" s="457" t="str">
        <f>H33</f>
        <v>2º Trim 2014</v>
      </c>
      <c r="J42" s="493">
        <v>5250</v>
      </c>
      <c r="K42" s="458">
        <v>4375</v>
      </c>
      <c r="L42" s="458">
        <v>4375</v>
      </c>
      <c r="M42" s="458">
        <v>3500</v>
      </c>
      <c r="N42" s="460">
        <f t="shared" si="2"/>
        <v>35000</v>
      </c>
      <c r="O42" s="461">
        <f t="shared" si="3"/>
        <v>17500</v>
      </c>
      <c r="AE42" s="450">
        <f>SUM(P42:AD42)</f>
        <v>0</v>
      </c>
      <c r="AF42" s="450">
        <f>1-AE42</f>
        <v>1</v>
      </c>
    </row>
    <row r="43" spans="2:32" s="450" customFormat="1" ht="14.1" customHeight="1">
      <c r="B43" s="768" t="s">
        <v>221</v>
      </c>
      <c r="C43" s="768"/>
      <c r="D43" s="536" t="s">
        <v>174</v>
      </c>
      <c r="E43" s="456">
        <v>1</v>
      </c>
      <c r="F43" s="456" t="s">
        <v>155</v>
      </c>
      <c r="G43" s="457" t="str">
        <f>G42</f>
        <v>3º Trim 2013</v>
      </c>
      <c r="H43" s="457" t="str">
        <f>H42</f>
        <v>4º Trim 2013</v>
      </c>
      <c r="I43" s="457" t="str">
        <f>I42</f>
        <v>2º Trim 2014</v>
      </c>
      <c r="J43" s="493">
        <v>1425</v>
      </c>
      <c r="K43" s="458">
        <v>1187.5</v>
      </c>
      <c r="L43" s="458">
        <v>1187.5</v>
      </c>
      <c r="M43" s="458">
        <v>950</v>
      </c>
      <c r="N43" s="460">
        <f t="shared" si="2"/>
        <v>9500</v>
      </c>
      <c r="O43" s="461">
        <f t="shared" si="3"/>
        <v>4750</v>
      </c>
    </row>
    <row r="44" spans="2:32" s="450" customFormat="1" ht="24.75" customHeight="1">
      <c r="B44" s="762" t="s">
        <v>222</v>
      </c>
      <c r="C44" s="762"/>
      <c r="D44" s="532" t="s">
        <v>187</v>
      </c>
    </row>
    <row r="45" spans="2:32" s="450" customFormat="1" ht="24.75" customHeight="1">
      <c r="B45" s="762" t="s">
        <v>223</v>
      </c>
      <c r="C45" s="762"/>
      <c r="D45" s="532" t="s">
        <v>95</v>
      </c>
    </row>
    <row r="46" spans="2:32" s="450" customFormat="1" ht="14.1" customHeight="1">
      <c r="B46" s="769" t="s">
        <v>19</v>
      </c>
      <c r="C46" s="770"/>
      <c r="D46" s="537" t="s">
        <v>172</v>
      </c>
    </row>
    <row r="47" spans="2:32" s="450" customFormat="1" ht="41.25" customHeight="1">
      <c r="B47" s="762" t="s">
        <v>224</v>
      </c>
      <c r="C47" s="762"/>
      <c r="D47" s="532" t="s">
        <v>238</v>
      </c>
      <c r="E47" s="471"/>
      <c r="F47" s="472" t="s">
        <v>105</v>
      </c>
      <c r="G47" s="457" t="str">
        <f>G43</f>
        <v>3º Trim 2013</v>
      </c>
      <c r="H47" s="457" t="str">
        <f>G33</f>
        <v>1º Trim 2014</v>
      </c>
      <c r="I47" s="457" t="s">
        <v>163</v>
      </c>
      <c r="J47" s="473"/>
      <c r="K47" s="473"/>
      <c r="L47" s="473">
        <v>208</v>
      </c>
      <c r="M47" s="474">
        <v>208</v>
      </c>
      <c r="N47" s="460">
        <f>O47*2</f>
        <v>832</v>
      </c>
      <c r="O47" s="461">
        <f>SUM(J47:M47)</f>
        <v>416</v>
      </c>
    </row>
    <row r="48" spans="2:32" s="450" customFormat="1" ht="25.5" customHeight="1">
      <c r="B48" s="762" t="s">
        <v>225</v>
      </c>
      <c r="C48" s="762"/>
      <c r="D48" s="538" t="s">
        <v>175</v>
      </c>
      <c r="E48" s="471"/>
      <c r="F48" s="472" t="s">
        <v>155</v>
      </c>
      <c r="G48" s="457" t="str">
        <f>G47</f>
        <v>3º Trim 2013</v>
      </c>
      <c r="H48" s="457" t="s">
        <v>159</v>
      </c>
      <c r="I48" s="457" t="str">
        <f>I47</f>
        <v>1º Trim 2017</v>
      </c>
      <c r="J48" s="473"/>
      <c r="K48" s="473"/>
      <c r="L48" s="473"/>
      <c r="M48" s="474">
        <v>182.4</v>
      </c>
      <c r="N48" s="460">
        <f>O48*2</f>
        <v>364.8</v>
      </c>
      <c r="O48" s="461">
        <f>SUM(J48:M48)</f>
        <v>182.4</v>
      </c>
    </row>
    <row r="49" spans="2:15" s="450" customFormat="1" ht="25.5" customHeight="1">
      <c r="B49" s="762" t="s">
        <v>226</v>
      </c>
      <c r="C49" s="762"/>
      <c r="D49" s="532" t="s">
        <v>179</v>
      </c>
    </row>
    <row r="50" spans="2:15" s="450" customFormat="1" ht="32.25" customHeight="1">
      <c r="B50" s="762" t="s">
        <v>227</v>
      </c>
      <c r="C50" s="762"/>
      <c r="D50" s="532" t="s">
        <v>240</v>
      </c>
      <c r="E50" s="471"/>
      <c r="F50" s="472" t="s">
        <v>105</v>
      </c>
      <c r="G50" s="457" t="str">
        <f>G48</f>
        <v>3º Trim 2013</v>
      </c>
      <c r="H50" s="483" t="s">
        <v>150</v>
      </c>
      <c r="I50" s="457" t="s">
        <v>164</v>
      </c>
      <c r="J50" s="473"/>
      <c r="K50" s="473"/>
      <c r="L50" s="473"/>
      <c r="M50" s="474">
        <v>130</v>
      </c>
      <c r="N50" s="460">
        <f>O50*2</f>
        <v>260</v>
      </c>
      <c r="O50" s="461">
        <f>SUM(J50:M50)</f>
        <v>130</v>
      </c>
    </row>
    <row r="51" spans="2:15" s="450" customFormat="1" ht="36" customHeight="1">
      <c r="B51" s="762" t="s">
        <v>228</v>
      </c>
      <c r="C51" s="762"/>
      <c r="D51" s="532" t="s">
        <v>107</v>
      </c>
    </row>
    <row r="52" spans="2:15" s="450" customFormat="1" ht="35.25" customHeight="1">
      <c r="B52" s="762" t="s">
        <v>229</v>
      </c>
      <c r="C52" s="762"/>
      <c r="D52" s="532" t="s">
        <v>176</v>
      </c>
    </row>
    <row r="53" spans="2:15" s="450" customFormat="1" ht="32.25" customHeight="1">
      <c r="B53" s="762" t="s">
        <v>230</v>
      </c>
      <c r="C53" s="762"/>
      <c r="D53" s="532" t="s">
        <v>101</v>
      </c>
      <c r="E53" s="471"/>
      <c r="F53" s="472" t="s">
        <v>162</v>
      </c>
      <c r="G53" s="457" t="str">
        <f>G50</f>
        <v>3º Trim 2013</v>
      </c>
      <c r="H53" s="457" t="str">
        <f>H47</f>
        <v>1º Trim 2014</v>
      </c>
      <c r="I53" s="457" t="str">
        <f>I33</f>
        <v>2º Trim 2018</v>
      </c>
      <c r="J53" s="473"/>
      <c r="K53" s="473"/>
      <c r="L53" s="473">
        <v>67</v>
      </c>
      <c r="M53" s="474">
        <v>67</v>
      </c>
      <c r="N53" s="460">
        <f>O53*2</f>
        <v>268</v>
      </c>
      <c r="O53" s="461">
        <f>SUM(J53:M53)</f>
        <v>134</v>
      </c>
    </row>
    <row r="54" spans="2:15" s="450" customFormat="1" ht="24.75" customHeight="1">
      <c r="B54" s="762" t="s">
        <v>231</v>
      </c>
      <c r="C54" s="762"/>
      <c r="D54" s="538" t="s">
        <v>102</v>
      </c>
    </row>
    <row r="55" spans="2:15" s="450" customFormat="1" ht="32.25" customHeight="1">
      <c r="B55" s="762" t="s">
        <v>232</v>
      </c>
      <c r="C55" s="762"/>
      <c r="D55" s="539" t="s">
        <v>189</v>
      </c>
    </row>
    <row r="56" spans="2:15" s="450" customFormat="1" ht="37.5" customHeight="1">
      <c r="B56" s="762" t="s">
        <v>233</v>
      </c>
      <c r="C56" s="762"/>
      <c r="D56" s="540" t="s">
        <v>190</v>
      </c>
    </row>
    <row r="57" spans="2:15" s="450" customFormat="1" ht="27.75" customHeight="1">
      <c r="B57" s="763" t="s">
        <v>234</v>
      </c>
      <c r="C57" s="764"/>
      <c r="D57" s="541" t="s">
        <v>173</v>
      </c>
      <c r="E57" s="462" t="s">
        <v>146</v>
      </c>
      <c r="F57" s="480"/>
      <c r="G57" s="481"/>
      <c r="H57" s="481"/>
      <c r="I57" s="482"/>
      <c r="J57" s="470">
        <f t="shared" ref="J57:O57" si="4">SUM(J47:J53)</f>
        <v>0</v>
      </c>
      <c r="K57" s="470">
        <f t="shared" si="4"/>
        <v>0</v>
      </c>
      <c r="L57" s="470">
        <f t="shared" si="4"/>
        <v>275</v>
      </c>
      <c r="M57" s="470">
        <f t="shared" si="4"/>
        <v>587.4</v>
      </c>
      <c r="N57" s="470">
        <f t="shared" si="4"/>
        <v>1724.8</v>
      </c>
      <c r="O57" s="470">
        <f t="shared" si="4"/>
        <v>862.4</v>
      </c>
    </row>
    <row r="58" spans="2:15" ht="34.5" customHeight="1">
      <c r="B58" s="762" t="s">
        <v>22</v>
      </c>
      <c r="C58" s="762"/>
      <c r="D58" s="532" t="s">
        <v>50</v>
      </c>
      <c r="E58" s="471"/>
      <c r="F58" s="472" t="s">
        <v>162</v>
      </c>
      <c r="G58" s="457" t="str">
        <f>H15</f>
        <v>4º Trim 2013</v>
      </c>
      <c r="H58" s="457" t="str">
        <f>H53</f>
        <v>1º Trim 2014</v>
      </c>
      <c r="I58" s="457" t="str">
        <f>I53</f>
        <v>2º Trim 2018</v>
      </c>
      <c r="J58" s="473"/>
      <c r="K58" s="473"/>
      <c r="L58" s="473"/>
      <c r="M58" s="474"/>
      <c r="N58" s="460">
        <f>O58*2</f>
        <v>0</v>
      </c>
      <c r="O58" s="461">
        <f>SUM(J58:M58)</f>
        <v>0</v>
      </c>
    </row>
    <row r="59" spans="2:15" ht="34.5" customHeight="1">
      <c r="B59" s="762" t="s">
        <v>151</v>
      </c>
      <c r="C59" s="762"/>
      <c r="D59" s="532" t="s">
        <v>52</v>
      </c>
    </row>
    <row r="60" spans="2:15" ht="34.5" customHeight="1">
      <c r="B60" s="763" t="s">
        <v>235</v>
      </c>
      <c r="C60" s="764"/>
      <c r="D60" s="541" t="s">
        <v>171</v>
      </c>
    </row>
    <row r="61" spans="2:15" ht="34.5" customHeight="1">
      <c r="B61" s="765" t="s">
        <v>26</v>
      </c>
      <c r="C61" s="765"/>
      <c r="D61" s="542" t="s">
        <v>53</v>
      </c>
    </row>
    <row r="62" spans="2:15" ht="14.1" customHeight="1">
      <c r="B62" s="766" t="s">
        <v>8</v>
      </c>
      <c r="C62" s="767"/>
      <c r="D62" s="767"/>
      <c r="E62" s="463"/>
      <c r="F62" s="444"/>
      <c r="G62" s="445"/>
      <c r="H62" s="445"/>
      <c r="I62" s="445"/>
      <c r="J62" s="446"/>
      <c r="K62" s="446"/>
      <c r="L62" s="446"/>
      <c r="M62" s="447"/>
      <c r="N62" s="448"/>
      <c r="O62" s="449"/>
    </row>
    <row r="64" spans="2:15" ht="14.1" customHeight="1">
      <c r="B64" s="545"/>
      <c r="C64" s="545"/>
      <c r="E64" s="517"/>
      <c r="F64" s="517"/>
      <c r="G64" s="518"/>
      <c r="H64" s="518"/>
      <c r="I64" s="519"/>
      <c r="J64" s="476">
        <f>J58+J57+J32+J19+J13</f>
        <v>17925</v>
      </c>
      <c r="K64" s="476">
        <f>K58+K57+K32+K19+K13</f>
        <v>14499.5</v>
      </c>
      <c r="L64" s="476">
        <f>L58+L57+L32+L19+L13</f>
        <v>18735</v>
      </c>
      <c r="M64" s="476">
        <f>M58+M57+M32+M19+M13</f>
        <v>15853.4</v>
      </c>
      <c r="N64" s="476">
        <f>N58+N57+N32+N19+N13</f>
        <v>134025.79999999999</v>
      </c>
      <c r="O64" s="476">
        <f>O62+O18+O12</f>
        <v>67012.899999999994</v>
      </c>
    </row>
    <row r="65" spans="2:15" ht="14.1" customHeight="1">
      <c r="B65" s="545"/>
      <c r="C65" s="545"/>
      <c r="E65" s="450"/>
      <c r="F65" s="450"/>
      <c r="G65" s="450"/>
      <c r="H65" s="450"/>
      <c r="I65" s="450"/>
      <c r="J65" s="450"/>
      <c r="K65" s="450"/>
      <c r="L65" s="450"/>
      <c r="M65" s="450"/>
      <c r="N65" s="450"/>
      <c r="O65" s="450"/>
    </row>
    <row r="66" spans="2:15" ht="14.1" customHeight="1">
      <c r="B66" s="544"/>
      <c r="C66" s="544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</row>
    <row r="67" spans="2:15" ht="14.1" customHeight="1">
      <c r="B67" s="544"/>
      <c r="C67" s="544"/>
      <c r="E67" s="516"/>
      <c r="F67" s="516"/>
      <c r="G67" s="516"/>
      <c r="H67" s="516"/>
      <c r="I67" s="516"/>
      <c r="O67" s="475"/>
    </row>
    <row r="68" spans="2:15" ht="14.1" customHeight="1">
      <c r="B68" s="544"/>
      <c r="C68" s="544"/>
      <c r="N68" s="435" t="e">
        <f>#REF!/2</f>
        <v>#REF!</v>
      </c>
    </row>
    <row r="69" spans="2:15" ht="14.1" customHeight="1">
      <c r="B69" s="544"/>
      <c r="C69" s="544"/>
    </row>
    <row r="70" spans="2:15" ht="14.1" customHeight="1">
      <c r="B70" s="544"/>
      <c r="C70" s="544"/>
    </row>
    <row r="71" spans="2:15" ht="14.1" customHeight="1">
      <c r="B71" s="544"/>
      <c r="C71" s="544"/>
    </row>
    <row r="72" spans="2:15" ht="14.1" customHeight="1">
      <c r="B72" s="544"/>
      <c r="C72" s="544"/>
    </row>
    <row r="73" spans="2:15" ht="14.1" customHeight="1">
      <c r="B73" s="544"/>
      <c r="C73" s="544"/>
    </row>
    <row r="74" spans="2:15" ht="14.1" customHeight="1">
      <c r="B74" s="544"/>
      <c r="C74" s="544"/>
    </row>
    <row r="75" spans="2:15" ht="14.1" customHeight="1">
      <c r="B75" s="544"/>
      <c r="C75" s="544"/>
    </row>
    <row r="76" spans="2:15" ht="14.1" customHeight="1">
      <c r="B76" s="544"/>
      <c r="C76" s="544"/>
    </row>
    <row r="77" spans="2:15" ht="14.1" customHeight="1">
      <c r="B77" s="544"/>
      <c r="C77" s="544"/>
    </row>
    <row r="78" spans="2:15" ht="14.1" customHeight="1">
      <c r="B78" s="544"/>
      <c r="C78" s="544"/>
    </row>
    <row r="79" spans="2:15" ht="14.1" customHeight="1">
      <c r="B79" s="544"/>
      <c r="C79" s="544"/>
    </row>
    <row r="89" spans="2:3" ht="14.1" customHeight="1">
      <c r="B89" s="546"/>
      <c r="C89" s="546"/>
    </row>
    <row r="99" spans="2:3" ht="14.1" customHeight="1">
      <c r="B99" s="547"/>
      <c r="C99" s="547"/>
    </row>
    <row r="100" spans="2:3" ht="14.1" customHeight="1">
      <c r="B100" s="547"/>
      <c r="C100" s="547"/>
    </row>
    <row r="101" spans="2:3" ht="14.1" customHeight="1">
      <c r="B101" s="547"/>
      <c r="C101" s="547"/>
    </row>
    <row r="102" spans="2:3" ht="14.1" customHeight="1">
      <c r="B102" s="547"/>
      <c r="C102" s="547"/>
    </row>
    <row r="103" spans="2:3" ht="14.1" customHeight="1">
      <c r="B103" s="547"/>
      <c r="C103" s="547"/>
    </row>
    <row r="104" spans="2:3" ht="14.1" customHeight="1">
      <c r="B104" s="547"/>
      <c r="C104" s="547"/>
    </row>
    <row r="105" spans="2:3" ht="14.1" customHeight="1">
      <c r="B105" s="547"/>
      <c r="C105" s="547"/>
    </row>
    <row r="106" spans="2:3" ht="14.1" customHeight="1">
      <c r="B106" s="547"/>
      <c r="C106" s="547"/>
    </row>
    <row r="107" spans="2:3" ht="14.1" customHeight="1">
      <c r="B107" s="547"/>
      <c r="C107" s="547"/>
    </row>
    <row r="108" spans="2:3" ht="14.1" customHeight="1">
      <c r="B108" s="547"/>
      <c r="C108" s="547"/>
    </row>
  </sheetData>
  <mergeCells count="60">
    <mergeCell ref="J9:M9"/>
    <mergeCell ref="B16:C16"/>
    <mergeCell ref="N9:O10"/>
    <mergeCell ref="J10:K10"/>
    <mergeCell ref="B9:D11"/>
    <mergeCell ref="B12:C12"/>
    <mergeCell ref="B13:C13"/>
    <mergeCell ref="B14:C14"/>
    <mergeCell ref="B15:C15"/>
    <mergeCell ref="E9:E11"/>
    <mergeCell ref="F9:F11"/>
    <mergeCell ref="G9:G11"/>
    <mergeCell ref="H9:H11"/>
    <mergeCell ref="I9:I11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9:C59"/>
    <mergeCell ref="B60:C60"/>
    <mergeCell ref="B61:C61"/>
    <mergeCell ref="B62:D62"/>
    <mergeCell ref="B53:C53"/>
    <mergeCell ref="B54:C54"/>
    <mergeCell ref="B55:C55"/>
    <mergeCell ref="B56:C56"/>
    <mergeCell ref="B57:C57"/>
    <mergeCell ref="B58:C58"/>
  </mergeCells>
  <pageMargins left="0.19685039370078741" right="0.15748031496062992" top="0.61" bottom="0.48" header="0.31496062992125984" footer="0.19685039370078741"/>
  <pageSetup paperSize="9" scale="49" fitToHeight="2" orientation="portrait" r:id="rId1"/>
  <headerFooter alignWithMargins="0">
    <oddFooter>&amp;L&amp;"Book Antiqua,Normal"&amp;9&amp;F&amp;C&amp;"Book Antiqua,Normal"&amp;9Versão de  &amp;D  às  &amp;T&amp;R&amp;"Book Antiqua,Normal"&amp;9&amp;P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HL112"/>
  <sheetViews>
    <sheetView topLeftCell="B1" zoomScale="95" zoomScaleNormal="95" workbookViewId="0">
      <pane xSplit="6" ySplit="5" topLeftCell="H6" activePane="bottomRight" state="frozen"/>
      <selection activeCell="B1" sqref="B1"/>
      <selection pane="topRight" activeCell="H1" sqref="H1"/>
      <selection pane="bottomLeft" activeCell="B6" sqref="B6"/>
      <selection pane="bottomRight" activeCell="E3" sqref="E3:E5"/>
    </sheetView>
  </sheetViews>
  <sheetFormatPr defaultRowHeight="15" customHeight="1"/>
  <cols>
    <col min="1" max="1" width="4.5703125" style="113" customWidth="1"/>
    <col min="2" max="2" width="2.42578125" style="113" customWidth="1"/>
    <col min="3" max="3" width="2.28515625" style="113" customWidth="1"/>
    <col min="4" max="4" width="54.28515625" style="130" customWidth="1"/>
    <col min="5" max="5" width="7.85546875" style="355" customWidth="1"/>
    <col min="6" max="6" width="9.140625" style="355" customWidth="1"/>
    <col min="7" max="7" width="10.42578125" style="113" customWidth="1"/>
    <col min="8" max="8" width="11.140625" style="112" customWidth="1"/>
    <col min="9" max="9" width="11.42578125" style="112" customWidth="1"/>
    <col min="10" max="11" width="10.85546875" style="112" customWidth="1"/>
    <col min="12" max="12" width="9.7109375" style="112" customWidth="1"/>
    <col min="13" max="13" width="10" style="112" customWidth="1"/>
    <col min="14" max="14" width="10.28515625" style="112" customWidth="1"/>
    <col min="15" max="15" width="11.28515625" style="112" customWidth="1"/>
    <col min="16" max="16" width="9.140625" style="112" customWidth="1"/>
    <col min="17" max="17" width="8.7109375" style="112" customWidth="1"/>
    <col min="18" max="18" width="9.85546875" style="112" customWidth="1"/>
    <col min="19" max="19" width="9.42578125" style="112" customWidth="1"/>
    <col min="20" max="20" width="9.140625" style="112" customWidth="1"/>
    <col min="21" max="21" width="9" style="112" customWidth="1"/>
    <col min="22" max="22" width="9.7109375" style="112" customWidth="1"/>
    <col min="23" max="23" width="9.5703125" style="112" customWidth="1"/>
    <col min="24" max="24" width="10.42578125" style="112" customWidth="1"/>
    <col min="25" max="25" width="11.140625" style="112" customWidth="1"/>
    <col min="26" max="26" width="11.85546875" style="112" customWidth="1"/>
    <col min="27" max="27" width="10.140625" style="112" customWidth="1"/>
    <col min="28" max="28" width="10.28515625" style="112" customWidth="1"/>
    <col min="29" max="29" width="10" style="112" customWidth="1"/>
    <col min="30" max="30" width="10.5703125" style="112" customWidth="1"/>
    <col min="31" max="31" width="10.85546875" style="112" customWidth="1"/>
    <col min="32" max="32" width="10.85546875" style="113" bestFit="1" customWidth="1"/>
    <col min="33" max="33" width="10.85546875" style="144" bestFit="1" customWidth="1"/>
    <col min="34" max="34" width="9.85546875" style="144" customWidth="1"/>
    <col min="35" max="41" width="9.140625" style="144"/>
    <col min="42" max="16384" width="9.140625" style="113"/>
  </cols>
  <sheetData>
    <row r="1" spans="1:41" s="108" customFormat="1" ht="16.5" customHeight="1">
      <c r="A1" s="103" t="s">
        <v>62</v>
      </c>
      <c r="B1" s="103"/>
      <c r="C1" s="103"/>
      <c r="D1" s="104"/>
      <c r="E1" s="103"/>
      <c r="F1" s="329"/>
      <c r="G1" s="106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1:41" ht="15" customHeight="1" thickBot="1">
      <c r="A2" s="109"/>
      <c r="B2" s="109"/>
      <c r="C2" s="109"/>
      <c r="D2" s="110"/>
      <c r="E2" s="330"/>
      <c r="F2" s="330"/>
      <c r="G2" s="109"/>
    </row>
    <row r="3" spans="1:41" ht="15" customHeight="1" thickBot="1">
      <c r="A3" s="809" t="s">
        <v>29</v>
      </c>
      <c r="B3" s="810"/>
      <c r="C3" s="810"/>
      <c r="D3" s="811"/>
      <c r="E3" s="818" t="s">
        <v>30</v>
      </c>
      <c r="F3" s="818" t="s">
        <v>31</v>
      </c>
      <c r="G3" s="114" t="s">
        <v>32</v>
      </c>
      <c r="H3" s="821" t="s">
        <v>65</v>
      </c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800" t="s">
        <v>108</v>
      </c>
    </row>
    <row r="4" spans="1:41" ht="15" customHeight="1" thickBot="1">
      <c r="A4" s="812"/>
      <c r="B4" s="813"/>
      <c r="C4" s="813"/>
      <c r="D4" s="814"/>
      <c r="E4" s="819"/>
      <c r="F4" s="819"/>
      <c r="G4" s="115"/>
      <c r="H4" s="801">
        <v>2013</v>
      </c>
      <c r="I4" s="801"/>
      <c r="J4" s="801">
        <v>2014</v>
      </c>
      <c r="K4" s="801"/>
      <c r="L4" s="801"/>
      <c r="M4" s="802"/>
      <c r="N4" s="801">
        <v>2015</v>
      </c>
      <c r="O4" s="801"/>
      <c r="P4" s="801"/>
      <c r="Q4" s="802"/>
      <c r="R4" s="801">
        <v>2016</v>
      </c>
      <c r="S4" s="801"/>
      <c r="T4" s="801"/>
      <c r="U4" s="802"/>
      <c r="V4" s="801">
        <v>2017</v>
      </c>
      <c r="W4" s="801"/>
      <c r="X4" s="801"/>
      <c r="Y4" s="802"/>
      <c r="Z4" s="801">
        <v>2018</v>
      </c>
      <c r="AA4" s="801"/>
      <c r="AB4" s="801"/>
      <c r="AC4" s="802"/>
      <c r="AD4" s="801">
        <v>2019</v>
      </c>
      <c r="AE4" s="802"/>
      <c r="AF4" s="800"/>
    </row>
    <row r="5" spans="1:41" ht="15" customHeight="1" thickBot="1">
      <c r="A5" s="815"/>
      <c r="B5" s="816"/>
      <c r="C5" s="816"/>
      <c r="D5" s="817"/>
      <c r="E5" s="820"/>
      <c r="F5" s="820"/>
      <c r="G5" s="116" t="s">
        <v>35</v>
      </c>
      <c r="H5" s="312">
        <v>1</v>
      </c>
      <c r="I5" s="313">
        <v>2</v>
      </c>
      <c r="J5" s="312">
        <v>3</v>
      </c>
      <c r="K5" s="312">
        <v>4</v>
      </c>
      <c r="L5" s="314">
        <v>5</v>
      </c>
      <c r="M5" s="315">
        <v>6</v>
      </c>
      <c r="N5" s="314">
        <v>7</v>
      </c>
      <c r="O5" s="314">
        <v>8</v>
      </c>
      <c r="P5" s="316">
        <v>9</v>
      </c>
      <c r="Q5" s="317">
        <v>10</v>
      </c>
      <c r="R5" s="316">
        <v>11</v>
      </c>
      <c r="S5" s="316">
        <v>12</v>
      </c>
      <c r="T5" s="312">
        <v>13</v>
      </c>
      <c r="U5" s="313">
        <v>14</v>
      </c>
      <c r="V5" s="318">
        <v>15</v>
      </c>
      <c r="W5" s="318">
        <v>16</v>
      </c>
      <c r="X5" s="319">
        <v>17</v>
      </c>
      <c r="Y5" s="320">
        <v>18</v>
      </c>
      <c r="Z5" s="319">
        <v>19</v>
      </c>
      <c r="AA5" s="319">
        <v>20</v>
      </c>
      <c r="AB5" s="321">
        <v>21</v>
      </c>
      <c r="AC5" s="321">
        <v>22</v>
      </c>
      <c r="AD5" s="322">
        <v>23</v>
      </c>
      <c r="AE5" s="369">
        <v>24</v>
      </c>
      <c r="AF5" s="800"/>
    </row>
    <row r="6" spans="1:41" s="119" customFormat="1" ht="15" customHeight="1">
      <c r="A6" s="331" t="s">
        <v>37</v>
      </c>
      <c r="B6" s="803" t="s">
        <v>13</v>
      </c>
      <c r="C6" s="804"/>
      <c r="D6" s="805"/>
      <c r="E6" s="332"/>
      <c r="F6" s="332"/>
      <c r="G6" s="333"/>
      <c r="H6" s="117">
        <f>H7</f>
        <v>80</v>
      </c>
      <c r="I6" s="117">
        <f t="shared" ref="I6:AE6" si="0">I7</f>
        <v>800</v>
      </c>
      <c r="J6" s="117">
        <f t="shared" si="0"/>
        <v>882.5</v>
      </c>
      <c r="K6" s="117">
        <f t="shared" si="0"/>
        <v>882.5</v>
      </c>
      <c r="L6" s="117">
        <f t="shared" si="0"/>
        <v>897</v>
      </c>
      <c r="M6" s="117">
        <f t="shared" si="0"/>
        <v>897</v>
      </c>
      <c r="N6" s="117">
        <f t="shared" si="0"/>
        <v>897</v>
      </c>
      <c r="O6" s="117">
        <f t="shared" si="0"/>
        <v>897</v>
      </c>
      <c r="P6" s="117">
        <f t="shared" si="0"/>
        <v>897</v>
      </c>
      <c r="Q6" s="117">
        <f t="shared" si="0"/>
        <v>897</v>
      </c>
      <c r="R6" s="117">
        <f t="shared" si="0"/>
        <v>818</v>
      </c>
      <c r="S6" s="117">
        <f t="shared" si="0"/>
        <v>708</v>
      </c>
      <c r="T6" s="117">
        <f t="shared" si="0"/>
        <v>708</v>
      </c>
      <c r="U6" s="117">
        <f t="shared" si="0"/>
        <v>598</v>
      </c>
      <c r="V6" s="117">
        <f t="shared" si="0"/>
        <v>488</v>
      </c>
      <c r="W6" s="117">
        <f t="shared" si="0"/>
        <v>488</v>
      </c>
      <c r="X6" s="117">
        <f t="shared" si="0"/>
        <v>488</v>
      </c>
      <c r="Y6" s="117">
        <f t="shared" si="0"/>
        <v>488</v>
      </c>
      <c r="Z6" s="117">
        <f t="shared" si="0"/>
        <v>378</v>
      </c>
      <c r="AA6" s="117">
        <f t="shared" si="0"/>
        <v>378</v>
      </c>
      <c r="AB6" s="117">
        <f t="shared" si="0"/>
        <v>378</v>
      </c>
      <c r="AC6" s="117">
        <f t="shared" si="0"/>
        <v>378</v>
      </c>
      <c r="AD6" s="117">
        <f t="shared" si="0"/>
        <v>378</v>
      </c>
      <c r="AE6" s="117">
        <f t="shared" si="0"/>
        <v>299</v>
      </c>
      <c r="AF6" s="370">
        <f>AF7</f>
        <v>15000</v>
      </c>
      <c r="AG6" s="145"/>
      <c r="AH6" s="145"/>
      <c r="AI6" s="145"/>
      <c r="AJ6" s="145"/>
      <c r="AK6" s="145"/>
      <c r="AL6" s="145"/>
      <c r="AM6" s="145"/>
      <c r="AN6" s="145"/>
      <c r="AO6" s="145"/>
    </row>
    <row r="7" spans="1:41" s="122" customFormat="1" ht="15" customHeight="1">
      <c r="A7" s="334" t="s">
        <v>14</v>
      </c>
      <c r="B7" s="806" t="s">
        <v>38</v>
      </c>
      <c r="C7" s="807"/>
      <c r="D7" s="808"/>
      <c r="E7" s="335"/>
      <c r="F7" s="335"/>
      <c r="G7" s="336"/>
      <c r="H7" s="259">
        <f>SUM(H8:H11)</f>
        <v>80</v>
      </c>
      <c r="I7" s="259">
        <f t="shared" ref="I7:AE7" si="1">SUM(I8:I11)</f>
        <v>800</v>
      </c>
      <c r="J7" s="259">
        <f t="shared" si="1"/>
        <v>882.5</v>
      </c>
      <c r="K7" s="259">
        <f t="shared" si="1"/>
        <v>882.5</v>
      </c>
      <c r="L7" s="259">
        <f t="shared" si="1"/>
        <v>897</v>
      </c>
      <c r="M7" s="259">
        <f t="shared" si="1"/>
        <v>897</v>
      </c>
      <c r="N7" s="259">
        <f t="shared" si="1"/>
        <v>897</v>
      </c>
      <c r="O7" s="259">
        <f t="shared" si="1"/>
        <v>897</v>
      </c>
      <c r="P7" s="259">
        <f t="shared" si="1"/>
        <v>897</v>
      </c>
      <c r="Q7" s="259">
        <f t="shared" si="1"/>
        <v>897</v>
      </c>
      <c r="R7" s="259">
        <f t="shared" si="1"/>
        <v>818</v>
      </c>
      <c r="S7" s="259">
        <f t="shared" si="1"/>
        <v>708</v>
      </c>
      <c r="T7" s="259">
        <f t="shared" si="1"/>
        <v>708</v>
      </c>
      <c r="U7" s="259">
        <f t="shared" si="1"/>
        <v>598</v>
      </c>
      <c r="V7" s="259">
        <f t="shared" si="1"/>
        <v>488</v>
      </c>
      <c r="W7" s="259">
        <f t="shared" si="1"/>
        <v>488</v>
      </c>
      <c r="X7" s="259">
        <f t="shared" si="1"/>
        <v>488</v>
      </c>
      <c r="Y7" s="259">
        <f t="shared" si="1"/>
        <v>488</v>
      </c>
      <c r="Z7" s="259">
        <f t="shared" si="1"/>
        <v>378</v>
      </c>
      <c r="AA7" s="259">
        <f t="shared" si="1"/>
        <v>378</v>
      </c>
      <c r="AB7" s="259">
        <f t="shared" si="1"/>
        <v>378</v>
      </c>
      <c r="AC7" s="259">
        <f t="shared" si="1"/>
        <v>378</v>
      </c>
      <c r="AD7" s="259">
        <f t="shared" si="1"/>
        <v>378</v>
      </c>
      <c r="AE7" s="259">
        <f t="shared" si="1"/>
        <v>299</v>
      </c>
      <c r="AF7" s="256">
        <f>AF8+AF9+AF10+AF11</f>
        <v>15000</v>
      </c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s="122" customFormat="1" ht="15" customHeight="1">
      <c r="A8" s="271"/>
      <c r="B8" s="187"/>
      <c r="C8" s="187"/>
      <c r="D8" s="188" t="s">
        <v>67</v>
      </c>
      <c r="E8" s="337" t="s">
        <v>39</v>
      </c>
      <c r="F8" s="338">
        <v>36</v>
      </c>
      <c r="G8" s="274">
        <v>75000</v>
      </c>
      <c r="H8" s="120"/>
      <c r="I8" s="147">
        <f>$AF8*'Crono Fisico'!I8</f>
        <v>720</v>
      </c>
      <c r="J8" s="147">
        <f>$AF8*'Crono Fisico'!J8</f>
        <v>540</v>
      </c>
      <c r="K8" s="147">
        <f>$AF8*'Crono Fisico'!K8</f>
        <v>540</v>
      </c>
      <c r="L8" s="121">
        <f>$AF8*'Crono Fisico'!L8</f>
        <v>540</v>
      </c>
      <c r="M8" s="121">
        <f>$AF8*'Crono Fisico'!M8</f>
        <v>540</v>
      </c>
      <c r="N8" s="121">
        <f>$AF8*'Crono Fisico'!N8</f>
        <v>540</v>
      </c>
      <c r="O8" s="121">
        <f>$AF8*'Crono Fisico'!O8</f>
        <v>540</v>
      </c>
      <c r="P8" s="147">
        <f>$AF8*'Crono Fisico'!P8</f>
        <v>540</v>
      </c>
      <c r="Q8" s="147">
        <f>$AF8*'Crono Fisico'!Q8</f>
        <v>540</v>
      </c>
      <c r="R8" s="147">
        <f>$AF8*'Crono Fisico'!R8</f>
        <v>540</v>
      </c>
      <c r="S8" s="147">
        <f>$AF8*'Crono Fisico'!S8</f>
        <v>450</v>
      </c>
      <c r="T8" s="147">
        <f>$AF8*'Crono Fisico'!T8</f>
        <v>450</v>
      </c>
      <c r="U8" s="147">
        <f>$AF8*'Crono Fisico'!U8</f>
        <v>360</v>
      </c>
      <c r="V8" s="147">
        <f>$AF8*'Crono Fisico'!V8</f>
        <v>270</v>
      </c>
      <c r="W8" s="147">
        <f>$AF8*'Crono Fisico'!W8</f>
        <v>270</v>
      </c>
      <c r="X8" s="147">
        <f>$AF8*'Crono Fisico'!X8</f>
        <v>270</v>
      </c>
      <c r="Y8" s="147">
        <f>$AF8*'Crono Fisico'!Y8</f>
        <v>270</v>
      </c>
      <c r="Z8" s="147">
        <f>$AF8*'Crono Fisico'!Z8</f>
        <v>180</v>
      </c>
      <c r="AA8" s="147">
        <f>$AF8*'Crono Fisico'!AA8</f>
        <v>180</v>
      </c>
      <c r="AB8" s="147">
        <f>$AF8*'Crono Fisico'!AB8</f>
        <v>180</v>
      </c>
      <c r="AC8" s="147">
        <f>$AF8*'Crono Fisico'!AC8</f>
        <v>180</v>
      </c>
      <c r="AD8" s="147">
        <f>$AF8*'Crono Fisico'!AD8</f>
        <v>180</v>
      </c>
      <c r="AE8" s="147">
        <f>$AF8*'Crono Fisico'!AE8</f>
        <v>180</v>
      </c>
      <c r="AF8" s="160">
        <v>9000</v>
      </c>
      <c r="AG8" s="150">
        <f>SUM(H8:AE8)</f>
        <v>9000</v>
      </c>
      <c r="AH8" s="391">
        <f>AF8-AG8</f>
        <v>0</v>
      </c>
      <c r="AI8" s="128"/>
      <c r="AJ8" s="128"/>
      <c r="AK8" s="128"/>
      <c r="AL8" s="128"/>
      <c r="AM8" s="128"/>
      <c r="AN8" s="128"/>
      <c r="AO8" s="128"/>
    </row>
    <row r="9" spans="1:41" s="124" customFormat="1" ht="15" customHeight="1">
      <c r="A9" s="271"/>
      <c r="B9" s="187"/>
      <c r="C9" s="187"/>
      <c r="D9" s="188" t="s">
        <v>66</v>
      </c>
      <c r="E9" s="339" t="s">
        <v>39</v>
      </c>
      <c r="F9" s="340">
        <v>42</v>
      </c>
      <c r="G9" s="277">
        <v>25000</v>
      </c>
      <c r="H9" s="123"/>
      <c r="I9" s="121"/>
      <c r="J9" s="147">
        <f>$AF9*'Crono Fisico'!J9</f>
        <v>25</v>
      </c>
      <c r="K9" s="147">
        <f>$AF9*'Crono Fisico'!K9</f>
        <v>25</v>
      </c>
      <c r="L9" s="123"/>
      <c r="M9" s="121"/>
      <c r="N9" s="123"/>
      <c r="O9" s="123"/>
      <c r="P9" s="123"/>
      <c r="Q9" s="121"/>
      <c r="R9" s="123"/>
      <c r="S9" s="123"/>
      <c r="T9" s="123"/>
      <c r="U9" s="121"/>
      <c r="V9" s="123"/>
      <c r="W9" s="123"/>
      <c r="X9" s="123"/>
      <c r="Y9" s="121"/>
      <c r="Z9" s="123"/>
      <c r="AA9" s="123"/>
      <c r="AB9" s="140"/>
      <c r="AC9" s="125"/>
      <c r="AD9" s="123"/>
      <c r="AE9" s="123"/>
      <c r="AF9" s="160">
        <v>50</v>
      </c>
      <c r="AG9" s="150">
        <f t="shared" ref="AG9:AG55" si="2">SUM(H9:AE9)</f>
        <v>50</v>
      </c>
      <c r="AH9" s="391">
        <f t="shared" ref="AH9:AH55" si="3">AF9-AG9</f>
        <v>0</v>
      </c>
      <c r="AI9" s="128"/>
      <c r="AJ9" s="128"/>
      <c r="AK9" s="128"/>
      <c r="AL9" s="128"/>
      <c r="AM9" s="128"/>
      <c r="AN9" s="128"/>
      <c r="AO9" s="128"/>
    </row>
    <row r="10" spans="1:41" s="122" customFormat="1" ht="15" customHeight="1">
      <c r="A10" s="271"/>
      <c r="B10" s="187"/>
      <c r="C10" s="187"/>
      <c r="D10" s="188" t="s">
        <v>40</v>
      </c>
      <c r="E10" s="337"/>
      <c r="F10" s="341" t="s">
        <v>41</v>
      </c>
      <c r="G10" s="342" t="s">
        <v>41</v>
      </c>
      <c r="H10" s="147">
        <f>$AF10*'Crono Fisico'!H10</f>
        <v>80</v>
      </c>
      <c r="I10" s="147">
        <f>$AF10*'Crono Fisico'!I10</f>
        <v>80</v>
      </c>
      <c r="J10" s="147">
        <f>$AF10*'Crono Fisico'!J10</f>
        <v>120</v>
      </c>
      <c r="K10" s="147">
        <f>$AF10*'Crono Fisico'!K10</f>
        <v>120</v>
      </c>
      <c r="L10" s="121">
        <f>$AF10*'Crono Fisico'!L10</f>
        <v>120</v>
      </c>
      <c r="M10" s="121">
        <f>$AF10*'Crono Fisico'!M10</f>
        <v>120</v>
      </c>
      <c r="N10" s="121">
        <f>$AF10*'Crono Fisico'!N10</f>
        <v>120</v>
      </c>
      <c r="O10" s="121">
        <f>$AF10*'Crono Fisico'!O10</f>
        <v>120</v>
      </c>
      <c r="P10" s="147">
        <f>$AF10*'Crono Fisico'!P10</f>
        <v>120</v>
      </c>
      <c r="Q10" s="147">
        <f>$AF10*'Crono Fisico'!Q10</f>
        <v>120</v>
      </c>
      <c r="R10" s="147">
        <f>$AF10*'Crono Fisico'!R10</f>
        <v>120</v>
      </c>
      <c r="S10" s="147">
        <f>$AF10*'Crono Fisico'!S10</f>
        <v>100</v>
      </c>
      <c r="T10" s="147">
        <f>$AF10*'Crono Fisico'!T10</f>
        <v>100</v>
      </c>
      <c r="U10" s="147">
        <f>$AF10*'Crono Fisico'!U10</f>
        <v>80</v>
      </c>
      <c r="V10" s="147">
        <f>$AF10*'Crono Fisico'!V10</f>
        <v>60</v>
      </c>
      <c r="W10" s="147">
        <f>$AF10*'Crono Fisico'!W10</f>
        <v>60</v>
      </c>
      <c r="X10" s="147">
        <f>$AF10*'Crono Fisico'!X10</f>
        <v>60</v>
      </c>
      <c r="Y10" s="147">
        <f>$AF10*'Crono Fisico'!Y10</f>
        <v>60</v>
      </c>
      <c r="Z10" s="147">
        <f>$AF10*'Crono Fisico'!Z10</f>
        <v>40</v>
      </c>
      <c r="AA10" s="147">
        <f>$AF10*'Crono Fisico'!AA10</f>
        <v>40</v>
      </c>
      <c r="AB10" s="147">
        <f>$AF10*'Crono Fisico'!AB10</f>
        <v>40</v>
      </c>
      <c r="AC10" s="147">
        <f>$AF10*'Crono Fisico'!AC10</f>
        <v>40</v>
      </c>
      <c r="AD10" s="147">
        <f>$AF10*'Crono Fisico'!AD10</f>
        <v>40</v>
      </c>
      <c r="AE10" s="147">
        <f>$AF10*'Crono Fisico'!AE10</f>
        <v>40</v>
      </c>
      <c r="AF10" s="160">
        <v>2000</v>
      </c>
      <c r="AG10" s="150">
        <f t="shared" si="2"/>
        <v>2000</v>
      </c>
      <c r="AH10" s="391">
        <f t="shared" si="3"/>
        <v>0</v>
      </c>
      <c r="AI10" s="128"/>
      <c r="AJ10" s="128"/>
      <c r="AK10" s="128"/>
      <c r="AL10" s="128"/>
      <c r="AM10" s="128"/>
      <c r="AN10" s="128"/>
      <c r="AO10" s="128"/>
    </row>
    <row r="11" spans="1:41" s="122" customFormat="1" ht="15" customHeight="1" thickBot="1">
      <c r="A11" s="271"/>
      <c r="B11" s="187"/>
      <c r="C11" s="187"/>
      <c r="D11" s="195" t="s">
        <v>42</v>
      </c>
      <c r="E11" s="337" t="s">
        <v>39</v>
      </c>
      <c r="F11" s="338">
        <v>36</v>
      </c>
      <c r="G11" s="274">
        <v>25000</v>
      </c>
      <c r="H11" s="123"/>
      <c r="I11" s="125"/>
      <c r="J11" s="147">
        <f>$AF11*'Crono Fisico'!J11</f>
        <v>197.5</v>
      </c>
      <c r="K11" s="147">
        <f>$AF11*'Crono Fisico'!K11</f>
        <v>197.5</v>
      </c>
      <c r="L11" s="121">
        <f>$AF11*'Crono Fisico'!L11</f>
        <v>237</v>
      </c>
      <c r="M11" s="121">
        <f>$AF11*'Crono Fisico'!M11</f>
        <v>237</v>
      </c>
      <c r="N11" s="121">
        <f>$AF11*'Crono Fisico'!N11</f>
        <v>237</v>
      </c>
      <c r="O11" s="121">
        <f>$AF11*'Crono Fisico'!O11</f>
        <v>237</v>
      </c>
      <c r="P11" s="147">
        <f>$AF11*'Crono Fisico'!P11</f>
        <v>237</v>
      </c>
      <c r="Q11" s="147">
        <f>$AF11*'Crono Fisico'!Q11</f>
        <v>237</v>
      </c>
      <c r="R11" s="147">
        <f>$AF11*'Crono Fisico'!R11</f>
        <v>158</v>
      </c>
      <c r="S11" s="147">
        <f>$AF11*'Crono Fisico'!S11</f>
        <v>158</v>
      </c>
      <c r="T11" s="147">
        <f>$AF11*'Crono Fisico'!T11</f>
        <v>158</v>
      </c>
      <c r="U11" s="147">
        <f>$AF11*'Crono Fisico'!U11</f>
        <v>158</v>
      </c>
      <c r="V11" s="147">
        <f>$AF11*'Crono Fisico'!V11</f>
        <v>158</v>
      </c>
      <c r="W11" s="147">
        <f>$AF11*'Crono Fisico'!W11</f>
        <v>158</v>
      </c>
      <c r="X11" s="147">
        <f>$AF11*'Crono Fisico'!X11</f>
        <v>158</v>
      </c>
      <c r="Y11" s="147">
        <f>$AF11*'Crono Fisico'!Y11</f>
        <v>158</v>
      </c>
      <c r="Z11" s="147">
        <f>$AF11*'Crono Fisico'!Z11</f>
        <v>158</v>
      </c>
      <c r="AA11" s="147">
        <f>$AF11*'Crono Fisico'!AA11</f>
        <v>158</v>
      </c>
      <c r="AB11" s="147">
        <f>$AF11*'Crono Fisico'!AB11</f>
        <v>158</v>
      </c>
      <c r="AC11" s="147">
        <f>$AF11*'Crono Fisico'!AC11</f>
        <v>158</v>
      </c>
      <c r="AD11" s="147">
        <f>$AF11*'Crono Fisico'!AD11</f>
        <v>158</v>
      </c>
      <c r="AE11" s="147">
        <f>$AF11*'Crono Fisico'!AE11</f>
        <v>79</v>
      </c>
      <c r="AF11" s="161">
        <f>4000-50</f>
        <v>3950</v>
      </c>
      <c r="AG11" s="150">
        <f t="shared" si="2"/>
        <v>3950</v>
      </c>
      <c r="AH11" s="391">
        <f t="shared" si="3"/>
        <v>0</v>
      </c>
      <c r="AI11" s="128"/>
      <c r="AJ11" s="128"/>
      <c r="AK11" s="128"/>
      <c r="AL11" s="128"/>
      <c r="AM11" s="128"/>
      <c r="AN11" s="128"/>
      <c r="AO11" s="128"/>
    </row>
    <row r="12" spans="1:41" s="119" customFormat="1" ht="15" customHeight="1">
      <c r="A12" s="331" t="s">
        <v>15</v>
      </c>
      <c r="B12" s="803" t="s">
        <v>16</v>
      </c>
      <c r="C12" s="804"/>
      <c r="D12" s="805"/>
      <c r="E12" s="332" t="s">
        <v>41</v>
      </c>
      <c r="F12" s="332" t="s">
        <v>41</v>
      </c>
      <c r="G12" s="333" t="s">
        <v>41</v>
      </c>
      <c r="H12" s="126">
        <f>H13+H25+H39</f>
        <v>17925</v>
      </c>
      <c r="I12" s="126">
        <f t="shared" ref="I12:AE12" si="4">I13+I25+I39</f>
        <v>14409.5</v>
      </c>
      <c r="J12" s="126">
        <f t="shared" si="4"/>
        <v>17712.5</v>
      </c>
      <c r="K12" s="126">
        <f t="shared" si="4"/>
        <v>14980.9</v>
      </c>
      <c r="L12" s="126">
        <f t="shared" si="4"/>
        <v>22111.9</v>
      </c>
      <c r="M12" s="126">
        <f t="shared" si="4"/>
        <v>21458.9</v>
      </c>
      <c r="N12" s="126">
        <f t="shared" si="4"/>
        <v>18534.900000000001</v>
      </c>
      <c r="O12" s="126">
        <f t="shared" si="4"/>
        <v>14378.4</v>
      </c>
      <c r="P12" s="126">
        <f t="shared" si="4"/>
        <v>10238.1</v>
      </c>
      <c r="Q12" s="126">
        <f t="shared" si="4"/>
        <v>16350.1</v>
      </c>
      <c r="R12" s="126">
        <f t="shared" si="4"/>
        <v>16533.099999999999</v>
      </c>
      <c r="S12" s="126">
        <f t="shared" si="4"/>
        <v>15691.6</v>
      </c>
      <c r="T12" s="126">
        <f t="shared" si="4"/>
        <v>8881.6</v>
      </c>
      <c r="U12" s="126">
        <f t="shared" si="4"/>
        <v>8908.6</v>
      </c>
      <c r="V12" s="126">
        <f t="shared" si="4"/>
        <v>8904.1</v>
      </c>
      <c r="W12" s="126">
        <f t="shared" si="4"/>
        <v>8835</v>
      </c>
      <c r="X12" s="126">
        <f t="shared" si="4"/>
        <v>8681.6</v>
      </c>
      <c r="Y12" s="126">
        <f t="shared" si="4"/>
        <v>8703.6</v>
      </c>
      <c r="Z12" s="126">
        <f t="shared" si="4"/>
        <v>8643.1</v>
      </c>
      <c r="AA12" s="126">
        <f t="shared" si="4"/>
        <v>7573.1</v>
      </c>
      <c r="AB12" s="126">
        <f t="shared" si="4"/>
        <v>7380.6</v>
      </c>
      <c r="AC12" s="126">
        <f t="shared" si="4"/>
        <v>7402.6</v>
      </c>
      <c r="AD12" s="126">
        <f t="shared" si="4"/>
        <v>7380.6</v>
      </c>
      <c r="AE12" s="126">
        <f t="shared" si="4"/>
        <v>7380.6</v>
      </c>
      <c r="AF12" s="163">
        <f>AF13+AF25+AF39</f>
        <v>299000</v>
      </c>
      <c r="AG12" s="150">
        <f t="shared" si="2"/>
        <v>298999.99999999994</v>
      </c>
      <c r="AH12" s="391">
        <f t="shared" si="3"/>
        <v>0</v>
      </c>
      <c r="AI12" s="145"/>
      <c r="AJ12" s="145"/>
      <c r="AK12" s="145"/>
      <c r="AL12" s="145"/>
      <c r="AM12" s="145"/>
      <c r="AN12" s="145"/>
      <c r="AO12" s="145"/>
    </row>
    <row r="13" spans="1:41" s="122" customFormat="1" ht="15.75">
      <c r="A13" s="334" t="s">
        <v>17</v>
      </c>
      <c r="B13" s="806" t="s">
        <v>166</v>
      </c>
      <c r="C13" s="823"/>
      <c r="D13" s="824"/>
      <c r="E13" s="335" t="s">
        <v>41</v>
      </c>
      <c r="F13" s="335" t="s">
        <v>41</v>
      </c>
      <c r="G13" s="336" t="s">
        <v>41</v>
      </c>
      <c r="H13" s="262">
        <f>SUM(H14:H24)</f>
        <v>1750</v>
      </c>
      <c r="I13" s="262">
        <f t="shared" ref="I13:AE13" si="5">SUM(I14:I24)</f>
        <v>450</v>
      </c>
      <c r="J13" s="262">
        <f t="shared" si="5"/>
        <v>450</v>
      </c>
      <c r="K13" s="262">
        <f t="shared" si="5"/>
        <v>792.5</v>
      </c>
      <c r="L13" s="262">
        <f t="shared" si="5"/>
        <v>1770</v>
      </c>
      <c r="M13" s="262">
        <f t="shared" si="5"/>
        <v>3032.5</v>
      </c>
      <c r="N13" s="262">
        <f t="shared" si="5"/>
        <v>2422.5</v>
      </c>
      <c r="O13" s="262">
        <f t="shared" si="5"/>
        <v>2227.5</v>
      </c>
      <c r="P13" s="262">
        <f t="shared" si="5"/>
        <v>2760</v>
      </c>
      <c r="Q13" s="262">
        <f t="shared" si="5"/>
        <v>1350</v>
      </c>
      <c r="R13" s="262">
        <f t="shared" si="5"/>
        <v>1500</v>
      </c>
      <c r="S13" s="262">
        <f t="shared" si="5"/>
        <v>917.5</v>
      </c>
      <c r="T13" s="262">
        <f t="shared" si="5"/>
        <v>140</v>
      </c>
      <c r="U13" s="262">
        <f t="shared" si="5"/>
        <v>140</v>
      </c>
      <c r="V13" s="262">
        <f t="shared" si="5"/>
        <v>157.5</v>
      </c>
      <c r="W13" s="262">
        <f t="shared" si="5"/>
        <v>140</v>
      </c>
      <c r="X13" s="262">
        <f t="shared" si="5"/>
        <v>0</v>
      </c>
      <c r="Y13" s="262">
        <f t="shared" si="5"/>
        <v>0</v>
      </c>
      <c r="Z13" s="262">
        <f t="shared" si="5"/>
        <v>0</v>
      </c>
      <c r="AA13" s="262">
        <f t="shared" si="5"/>
        <v>0</v>
      </c>
      <c r="AB13" s="262">
        <f t="shared" si="5"/>
        <v>0</v>
      </c>
      <c r="AC13" s="262">
        <f t="shared" si="5"/>
        <v>0</v>
      </c>
      <c r="AD13" s="262">
        <f t="shared" si="5"/>
        <v>0</v>
      </c>
      <c r="AE13" s="262">
        <f t="shared" si="5"/>
        <v>0</v>
      </c>
      <c r="AF13" s="257">
        <f>AF14+AF15+AF16+AF17+AF18+AF19+AF20+AF21+AF22+AF23+AF24</f>
        <v>20000</v>
      </c>
      <c r="AG13" s="150">
        <f t="shared" si="2"/>
        <v>20000</v>
      </c>
      <c r="AH13" s="391">
        <f t="shared" si="3"/>
        <v>0</v>
      </c>
      <c r="AI13" s="128"/>
      <c r="AJ13" s="128"/>
      <c r="AK13" s="128"/>
      <c r="AL13" s="128"/>
      <c r="AM13" s="128"/>
      <c r="AN13" s="128"/>
      <c r="AO13" s="128"/>
    </row>
    <row r="14" spans="1:41" s="122" customFormat="1" ht="17.25" customHeight="1">
      <c r="A14" s="186"/>
      <c r="B14" s="187"/>
      <c r="C14" s="187"/>
      <c r="D14" s="205" t="s">
        <v>73</v>
      </c>
      <c r="E14" s="343" t="s">
        <v>43</v>
      </c>
      <c r="F14" s="341"/>
      <c r="G14" s="282"/>
      <c r="H14" s="420">
        <f>$AF14*'Crono Fisico'!H14</f>
        <v>1750</v>
      </c>
      <c r="I14" s="125"/>
      <c r="J14" s="123"/>
      <c r="K14" s="123"/>
      <c r="L14" s="123"/>
      <c r="M14" s="125"/>
      <c r="N14" s="123"/>
      <c r="O14" s="123"/>
      <c r="P14" s="123"/>
      <c r="Q14" s="125"/>
      <c r="R14" s="123"/>
      <c r="S14" s="123"/>
      <c r="T14" s="123"/>
      <c r="U14" s="125"/>
      <c r="V14" s="123"/>
      <c r="W14" s="123"/>
      <c r="X14" s="123"/>
      <c r="Y14" s="125"/>
      <c r="Z14" s="123"/>
      <c r="AA14" s="123"/>
      <c r="AB14" s="140"/>
      <c r="AC14" s="125"/>
      <c r="AD14" s="123"/>
      <c r="AE14" s="123"/>
      <c r="AF14" s="164">
        <v>1750</v>
      </c>
      <c r="AG14" s="150">
        <f t="shared" si="2"/>
        <v>1750</v>
      </c>
      <c r="AH14" s="391">
        <f t="shared" si="3"/>
        <v>0</v>
      </c>
      <c r="AI14" s="128"/>
      <c r="AJ14" s="128"/>
      <c r="AK14" s="128"/>
      <c r="AL14" s="128"/>
      <c r="AM14" s="128"/>
      <c r="AN14" s="128"/>
      <c r="AO14" s="128"/>
    </row>
    <row r="15" spans="1:41" s="122" customFormat="1" ht="15.75">
      <c r="A15" s="186"/>
      <c r="B15" s="187"/>
      <c r="C15" s="187"/>
      <c r="D15" s="209" t="s">
        <v>74</v>
      </c>
      <c r="E15" s="343" t="s">
        <v>44</v>
      </c>
      <c r="F15" s="341"/>
      <c r="G15" s="282"/>
      <c r="H15" s="123"/>
      <c r="I15" s="125"/>
      <c r="J15" s="123"/>
      <c r="K15" s="123"/>
      <c r="L15" s="121">
        <f>$AF15*'Crono Fisico'!L15</f>
        <v>420.00000000000006</v>
      </c>
      <c r="M15" s="121">
        <f>$AF15*'Crono Fisico'!M15</f>
        <v>1020.0000000000001</v>
      </c>
      <c r="N15" s="121">
        <f>$AF15*'Crono Fisico'!N15</f>
        <v>780</v>
      </c>
      <c r="O15" s="121">
        <f>$AF15*'Crono Fisico'!O15</f>
        <v>780</v>
      </c>
      <c r="P15" s="147">
        <f>$AF15*'Crono Fisico'!P15</f>
        <v>1020.0000000000001</v>
      </c>
      <c r="Q15" s="147">
        <f>$AF15*'Crono Fisico'!Q15</f>
        <v>660</v>
      </c>
      <c r="R15" s="147">
        <f>$AF15*'Crono Fisico'!R15</f>
        <v>660</v>
      </c>
      <c r="S15" s="147">
        <f>$AF15*'Crono Fisico'!S15</f>
        <v>660</v>
      </c>
      <c r="T15" s="123"/>
      <c r="U15" s="123"/>
      <c r="V15" s="123"/>
      <c r="W15" s="123"/>
      <c r="X15" s="123"/>
      <c r="Y15" s="125"/>
      <c r="Z15" s="123"/>
      <c r="AA15" s="123"/>
      <c r="AB15" s="140"/>
      <c r="AC15" s="125"/>
      <c r="AD15" s="123"/>
      <c r="AE15" s="123"/>
      <c r="AF15" s="164">
        <v>6000</v>
      </c>
      <c r="AG15" s="150">
        <f t="shared" si="2"/>
        <v>6000</v>
      </c>
      <c r="AH15" s="391">
        <f t="shared" si="3"/>
        <v>0</v>
      </c>
      <c r="AI15" s="128"/>
      <c r="AJ15" s="128"/>
      <c r="AK15" s="128"/>
      <c r="AL15" s="128"/>
      <c r="AM15" s="128"/>
      <c r="AN15" s="128"/>
      <c r="AO15" s="128"/>
    </row>
    <row r="16" spans="1:41" s="122" customFormat="1" ht="15.75">
      <c r="A16" s="186"/>
      <c r="B16" s="187"/>
      <c r="C16" s="187"/>
      <c r="D16" s="209" t="s">
        <v>165</v>
      </c>
      <c r="E16" s="343" t="s">
        <v>45</v>
      </c>
      <c r="F16" s="341" t="s">
        <v>41</v>
      </c>
      <c r="G16" s="282" t="s">
        <v>46</v>
      </c>
      <c r="H16" s="123"/>
      <c r="I16" s="147">
        <f>$AF16*'Crono Fisico'!I16</f>
        <v>450</v>
      </c>
      <c r="J16" s="147">
        <f>$AF16*'Crono Fisico'!J16</f>
        <v>450</v>
      </c>
      <c r="K16" s="147">
        <f>$AF16*'Crono Fisico'!K16</f>
        <v>450</v>
      </c>
      <c r="L16" s="121">
        <f>$AF16*'Crono Fisico'!L16</f>
        <v>450</v>
      </c>
      <c r="M16" s="121">
        <f>$AF16*'Crono Fisico'!M16</f>
        <v>450</v>
      </c>
      <c r="N16" s="121">
        <f>$AF16*'Crono Fisico'!N16</f>
        <v>450</v>
      </c>
      <c r="O16" s="121">
        <f>$AF16*'Crono Fisico'!O16</f>
        <v>450</v>
      </c>
      <c r="P16" s="147">
        <f>$AF16*'Crono Fisico'!P16</f>
        <v>450</v>
      </c>
      <c r="Q16" s="147">
        <f>$AF16*'Crono Fisico'!Q16</f>
        <v>450</v>
      </c>
      <c r="R16" s="147">
        <f>$AF16*'Crono Fisico'!R16</f>
        <v>450</v>
      </c>
      <c r="S16" s="125"/>
      <c r="T16" s="125"/>
      <c r="U16" s="125"/>
      <c r="V16" s="125"/>
      <c r="W16" s="123"/>
      <c r="X16" s="123"/>
      <c r="Y16" s="125"/>
      <c r="Z16" s="123"/>
      <c r="AA16" s="123"/>
      <c r="AB16" s="140"/>
      <c r="AC16" s="125"/>
      <c r="AD16" s="123"/>
      <c r="AE16" s="123"/>
      <c r="AF16" s="164">
        <v>4500</v>
      </c>
      <c r="AG16" s="150">
        <f t="shared" si="2"/>
        <v>4500</v>
      </c>
      <c r="AH16" s="391">
        <f t="shared" si="3"/>
        <v>0</v>
      </c>
      <c r="AI16" s="128"/>
      <c r="AJ16" s="128"/>
      <c r="AK16" s="128"/>
      <c r="AL16" s="128"/>
      <c r="AM16" s="128"/>
      <c r="AN16" s="128"/>
      <c r="AO16" s="128"/>
    </row>
    <row r="17" spans="1:41" s="122" customFormat="1" ht="30">
      <c r="A17" s="186"/>
      <c r="B17" s="187"/>
      <c r="C17" s="187"/>
      <c r="D17" s="209" t="s">
        <v>76</v>
      </c>
      <c r="E17" s="343" t="s">
        <v>45</v>
      </c>
      <c r="F17" s="341" t="s">
        <v>41</v>
      </c>
      <c r="G17" s="282" t="s">
        <v>46</v>
      </c>
      <c r="H17" s="123"/>
      <c r="I17" s="125"/>
      <c r="J17" s="123"/>
      <c r="K17" s="323"/>
      <c r="L17" s="323"/>
      <c r="M17" s="121">
        <f>$AF17*'Crono Fisico'!M17</f>
        <v>630</v>
      </c>
      <c r="N17" s="121">
        <f>$AF17*'Crono Fisico'!N17</f>
        <v>420</v>
      </c>
      <c r="O17" s="121">
        <f>$AF17*'Crono Fisico'!O17</f>
        <v>420</v>
      </c>
      <c r="P17" s="147">
        <f>$AF17*'Crono Fisico'!P17</f>
        <v>630</v>
      </c>
      <c r="Q17" s="125"/>
      <c r="R17" s="123"/>
      <c r="S17" s="123"/>
      <c r="T17" s="123"/>
      <c r="U17" s="125"/>
      <c r="V17" s="123"/>
      <c r="W17" s="123"/>
      <c r="X17" s="123"/>
      <c r="Y17" s="125"/>
      <c r="Z17" s="123"/>
      <c r="AA17" s="123"/>
      <c r="AB17" s="140"/>
      <c r="AC17" s="125"/>
      <c r="AD17" s="123"/>
      <c r="AE17" s="123"/>
      <c r="AF17" s="164">
        <v>2100</v>
      </c>
      <c r="AG17" s="150">
        <f t="shared" si="2"/>
        <v>2100</v>
      </c>
      <c r="AH17" s="391">
        <f t="shared" si="3"/>
        <v>0</v>
      </c>
      <c r="AI17" s="128"/>
      <c r="AJ17" s="128"/>
      <c r="AK17" s="128"/>
      <c r="AL17" s="128"/>
      <c r="AM17" s="128"/>
      <c r="AN17" s="128"/>
      <c r="AO17" s="128"/>
    </row>
    <row r="18" spans="1:41" s="122" customFormat="1" ht="15.75" customHeight="1">
      <c r="A18" s="186"/>
      <c r="B18" s="187"/>
      <c r="C18" s="187"/>
      <c r="D18" s="209" t="s">
        <v>169</v>
      </c>
      <c r="E18" s="343" t="s">
        <v>45</v>
      </c>
      <c r="F18" s="341" t="s">
        <v>41</v>
      </c>
      <c r="G18" s="282" t="s">
        <v>46</v>
      </c>
      <c r="H18" s="123"/>
      <c r="I18" s="125"/>
      <c r="J18" s="123"/>
      <c r="K18" s="123"/>
      <c r="L18" s="121">
        <f>$AF18*'Crono Fisico'!L18</f>
        <v>100</v>
      </c>
      <c r="M18" s="121">
        <f>$AF18*'Crono Fisico'!M18</f>
        <v>300</v>
      </c>
      <c r="N18" s="121">
        <f>$AF18*'Crono Fisico'!N18</f>
        <v>100</v>
      </c>
      <c r="O18" s="121">
        <f>$AF18*'Crono Fisico'!O18</f>
        <v>100</v>
      </c>
      <c r="P18" s="147">
        <f>$AF18*'Crono Fisico'!P18</f>
        <v>100</v>
      </c>
      <c r="Q18" s="147">
        <f>$AF18*'Crono Fisico'!Q18</f>
        <v>100</v>
      </c>
      <c r="R18" s="147">
        <f>$AF18*'Crono Fisico'!R18</f>
        <v>100</v>
      </c>
      <c r="S18" s="147">
        <f>$AF18*'Crono Fisico'!S18</f>
        <v>100</v>
      </c>
      <c r="T18" s="123"/>
      <c r="U18" s="125"/>
      <c r="V18" s="123"/>
      <c r="W18" s="123"/>
      <c r="X18" s="123"/>
      <c r="Y18" s="125"/>
      <c r="Z18" s="123"/>
      <c r="AA18" s="123"/>
      <c r="AB18" s="140"/>
      <c r="AC18" s="125"/>
      <c r="AD18" s="123"/>
      <c r="AE18" s="123"/>
      <c r="AF18" s="164">
        <v>1000</v>
      </c>
      <c r="AG18" s="150">
        <f t="shared" si="2"/>
        <v>1000</v>
      </c>
      <c r="AH18" s="391">
        <f t="shared" si="3"/>
        <v>0</v>
      </c>
      <c r="AI18" s="128"/>
      <c r="AJ18" s="128"/>
      <c r="AK18" s="128"/>
      <c r="AL18" s="128"/>
      <c r="AM18" s="128"/>
      <c r="AN18" s="128"/>
      <c r="AO18" s="128"/>
    </row>
    <row r="19" spans="1:41" s="122" customFormat="1" ht="15.75">
      <c r="A19" s="186"/>
      <c r="B19" s="187"/>
      <c r="C19" s="187"/>
      <c r="D19" s="209" t="s">
        <v>78</v>
      </c>
      <c r="E19" s="343"/>
      <c r="F19" s="341"/>
      <c r="G19" s="282"/>
      <c r="H19" s="123"/>
      <c r="I19" s="125"/>
      <c r="J19" s="123"/>
      <c r="K19" s="147">
        <f>$AF19*'Crono Fisico'!K19</f>
        <v>150</v>
      </c>
      <c r="L19" s="121">
        <f>$AF19*'Crono Fisico'!L19</f>
        <v>120</v>
      </c>
      <c r="M19" s="121">
        <f>$AF19*'Crono Fisico'!M19</f>
        <v>120</v>
      </c>
      <c r="N19" s="121">
        <f>$AF19*'Crono Fisico'!N19</f>
        <v>120</v>
      </c>
      <c r="O19" s="121">
        <f>$AF19*'Crono Fisico'!O19</f>
        <v>120</v>
      </c>
      <c r="P19" s="147">
        <f>$AF19*'Crono Fisico'!P19</f>
        <v>120</v>
      </c>
      <c r="Q19" s="125"/>
      <c r="R19" s="123"/>
      <c r="S19" s="123"/>
      <c r="T19" s="123"/>
      <c r="U19" s="125"/>
      <c r="V19" s="123"/>
      <c r="W19" s="123"/>
      <c r="X19" s="123"/>
      <c r="Y19" s="125"/>
      <c r="Z19" s="123"/>
      <c r="AA19" s="123"/>
      <c r="AB19" s="140"/>
      <c r="AC19" s="125"/>
      <c r="AD19" s="123"/>
      <c r="AE19" s="123"/>
      <c r="AF19" s="164">
        <v>750</v>
      </c>
      <c r="AG19" s="150">
        <f t="shared" si="2"/>
        <v>750</v>
      </c>
      <c r="AH19" s="391">
        <f t="shared" si="3"/>
        <v>0</v>
      </c>
      <c r="AI19" s="128"/>
      <c r="AJ19" s="128"/>
      <c r="AK19" s="128"/>
      <c r="AL19" s="128"/>
      <c r="AM19" s="128"/>
      <c r="AN19" s="128"/>
      <c r="AO19" s="128"/>
    </row>
    <row r="20" spans="1:41" s="122" customFormat="1" ht="15.75">
      <c r="A20" s="186"/>
      <c r="B20" s="187"/>
      <c r="C20" s="187"/>
      <c r="D20" s="209" t="s">
        <v>168</v>
      </c>
      <c r="E20" s="343"/>
      <c r="F20" s="341"/>
      <c r="G20" s="282"/>
      <c r="H20" s="123"/>
      <c r="I20" s="125"/>
      <c r="J20" s="123"/>
      <c r="K20" s="123"/>
      <c r="L20" s="121">
        <f>$AF20*'Crono Fisico'!L20</f>
        <v>150</v>
      </c>
      <c r="M20" s="121">
        <f>$AF20*'Crono Fisico'!M20</f>
        <v>0</v>
      </c>
      <c r="N20" s="121">
        <f>$AF20*'Crono Fisico'!N20</f>
        <v>100</v>
      </c>
      <c r="O20" s="121">
        <f>$AF20*'Crono Fisico'!O20</f>
        <v>0</v>
      </c>
      <c r="P20" s="147">
        <f>$AF20*'Crono Fisico'!P20</f>
        <v>100</v>
      </c>
      <c r="Q20" s="147">
        <f>$AF20*'Crono Fisico'!Q20</f>
        <v>0</v>
      </c>
      <c r="R20" s="147">
        <f>$AF20*'Crono Fisico'!R20</f>
        <v>150</v>
      </c>
      <c r="S20" s="123"/>
      <c r="T20" s="123"/>
      <c r="U20" s="125"/>
      <c r="V20" s="123"/>
      <c r="W20" s="123"/>
      <c r="X20" s="123"/>
      <c r="Y20" s="125"/>
      <c r="Z20" s="123"/>
      <c r="AA20" s="123"/>
      <c r="AB20" s="140"/>
      <c r="AC20" s="125"/>
      <c r="AD20" s="123"/>
      <c r="AE20" s="123"/>
      <c r="AF20" s="164">
        <v>500</v>
      </c>
      <c r="AG20" s="150">
        <f t="shared" si="2"/>
        <v>500</v>
      </c>
      <c r="AH20" s="391">
        <f t="shared" si="3"/>
        <v>0</v>
      </c>
      <c r="AI20" s="128"/>
      <c r="AJ20" s="128"/>
      <c r="AK20" s="128"/>
      <c r="AL20" s="128"/>
      <c r="AM20" s="128"/>
      <c r="AN20" s="128"/>
      <c r="AO20" s="128"/>
    </row>
    <row r="21" spans="1:41" s="122" customFormat="1" ht="15.75">
      <c r="A21" s="186"/>
      <c r="B21" s="187"/>
      <c r="C21" s="187"/>
      <c r="D21" s="209" t="s">
        <v>80</v>
      </c>
      <c r="E21" s="343" t="s">
        <v>45</v>
      </c>
      <c r="F21" s="341"/>
      <c r="G21" s="282"/>
      <c r="H21" s="123"/>
      <c r="I21" s="125"/>
      <c r="J21" s="123"/>
      <c r="K21" s="147">
        <f>$AF21*'Crono Fisico'!K21</f>
        <v>112.5</v>
      </c>
      <c r="L21" s="121">
        <f>$AF21*'Crono Fisico'!L21</f>
        <v>112.5</v>
      </c>
      <c r="M21" s="121">
        <f>$AF21*'Crono Fisico'!M21</f>
        <v>112.5</v>
      </c>
      <c r="N21" s="121">
        <f>$AF21*'Crono Fisico'!N21</f>
        <v>112.5</v>
      </c>
      <c r="O21" s="123"/>
      <c r="P21" s="123"/>
      <c r="Q21" s="125"/>
      <c r="R21" s="123"/>
      <c r="S21" s="123"/>
      <c r="T21" s="123"/>
      <c r="U21" s="125"/>
      <c r="V21" s="123"/>
      <c r="W21" s="123"/>
      <c r="X21" s="123"/>
      <c r="Y21" s="125"/>
      <c r="Z21" s="123"/>
      <c r="AA21" s="123"/>
      <c r="AB21" s="140"/>
      <c r="AC21" s="125"/>
      <c r="AD21" s="123"/>
      <c r="AE21" s="123"/>
      <c r="AF21" s="164">
        <v>450</v>
      </c>
      <c r="AG21" s="150">
        <f t="shared" si="2"/>
        <v>450</v>
      </c>
      <c r="AH21" s="391">
        <f t="shared" si="3"/>
        <v>0</v>
      </c>
      <c r="AI21" s="128"/>
      <c r="AJ21" s="128"/>
      <c r="AK21" s="128"/>
      <c r="AL21" s="128"/>
      <c r="AM21" s="128"/>
      <c r="AN21" s="128"/>
      <c r="AO21" s="128"/>
    </row>
    <row r="22" spans="1:41" s="122" customFormat="1" ht="15.75">
      <c r="A22" s="186"/>
      <c r="B22" s="187"/>
      <c r="C22" s="187"/>
      <c r="D22" s="209" t="s">
        <v>167</v>
      </c>
      <c r="E22" s="343" t="s">
        <v>45</v>
      </c>
      <c r="F22" s="341"/>
      <c r="G22" s="282"/>
      <c r="H22" s="123"/>
      <c r="I22" s="125"/>
      <c r="J22" s="123"/>
      <c r="K22" s="147">
        <f>$AF22*'Crono Fisico'!K22</f>
        <v>80</v>
      </c>
      <c r="L22" s="121">
        <f>$AF22*'Crono Fisico'!L22</f>
        <v>60</v>
      </c>
      <c r="M22" s="121">
        <f>$AF22*'Crono Fisico'!M22</f>
        <v>60</v>
      </c>
      <c r="N22" s="123"/>
      <c r="O22" s="123"/>
      <c r="P22" s="123"/>
      <c r="Q22" s="125"/>
      <c r="R22" s="123"/>
      <c r="S22" s="123"/>
      <c r="T22" s="123"/>
      <c r="U22" s="125"/>
      <c r="V22" s="123"/>
      <c r="W22" s="123"/>
      <c r="X22" s="123"/>
      <c r="Y22" s="125"/>
      <c r="Z22" s="123"/>
      <c r="AA22" s="123"/>
      <c r="AB22" s="140"/>
      <c r="AC22" s="125"/>
      <c r="AD22" s="123"/>
      <c r="AE22" s="123"/>
      <c r="AF22" s="164">
        <v>200</v>
      </c>
      <c r="AG22" s="150">
        <f t="shared" si="2"/>
        <v>200</v>
      </c>
      <c r="AH22" s="391">
        <f t="shared" si="3"/>
        <v>0</v>
      </c>
      <c r="AI22" s="128"/>
      <c r="AJ22" s="128"/>
      <c r="AK22" s="128"/>
      <c r="AL22" s="128"/>
      <c r="AM22" s="128"/>
      <c r="AN22" s="128"/>
      <c r="AO22" s="128"/>
    </row>
    <row r="23" spans="1:41" s="122" customFormat="1" ht="15.75">
      <c r="A23" s="186"/>
      <c r="B23" s="187"/>
      <c r="C23" s="187"/>
      <c r="D23" s="209" t="s">
        <v>82</v>
      </c>
      <c r="E23" s="343" t="s">
        <v>45</v>
      </c>
      <c r="F23" s="341"/>
      <c r="G23" s="282"/>
      <c r="H23" s="123"/>
      <c r="I23" s="125"/>
      <c r="J23" s="123"/>
      <c r="K23" s="123"/>
      <c r="L23" s="121">
        <f>$AF23*'Crono Fisico'!L23</f>
        <v>157.5</v>
      </c>
      <c r="M23" s="121">
        <f>$AF23*'Crono Fisico'!M23</f>
        <v>140</v>
      </c>
      <c r="N23" s="121">
        <f>$AF23*'Crono Fisico'!N23</f>
        <v>140</v>
      </c>
      <c r="O23" s="121">
        <f>$AF23*'Crono Fisico'!O23</f>
        <v>157.5</v>
      </c>
      <c r="P23" s="147">
        <f>$AF23*'Crono Fisico'!P23</f>
        <v>140</v>
      </c>
      <c r="Q23" s="147">
        <f>$AF23*'Crono Fisico'!Q23</f>
        <v>140</v>
      </c>
      <c r="R23" s="147">
        <f>$AF23*'Crono Fisico'!R23</f>
        <v>140</v>
      </c>
      <c r="S23" s="147">
        <f>$AF23*'Crono Fisico'!S23</f>
        <v>157.5</v>
      </c>
      <c r="T23" s="147">
        <f>$AF23*'Crono Fisico'!T23</f>
        <v>140</v>
      </c>
      <c r="U23" s="147">
        <f>$AF23*'Crono Fisico'!U23</f>
        <v>140</v>
      </c>
      <c r="V23" s="147">
        <f>$AF23*'Crono Fisico'!V23</f>
        <v>157.5</v>
      </c>
      <c r="W23" s="147">
        <f>$AF23*'Crono Fisico'!W23</f>
        <v>140</v>
      </c>
      <c r="X23" s="123"/>
      <c r="Y23" s="125"/>
      <c r="Z23" s="123"/>
      <c r="AA23" s="123"/>
      <c r="AB23" s="140"/>
      <c r="AC23" s="125"/>
      <c r="AD23" s="123"/>
      <c r="AE23" s="123"/>
      <c r="AF23" s="164">
        <v>1750</v>
      </c>
      <c r="AG23" s="150">
        <f t="shared" si="2"/>
        <v>1750</v>
      </c>
      <c r="AH23" s="391">
        <f t="shared" si="3"/>
        <v>0</v>
      </c>
      <c r="AI23" s="128"/>
      <c r="AJ23" s="128"/>
      <c r="AK23" s="128"/>
      <c r="AL23" s="128"/>
      <c r="AM23" s="128"/>
      <c r="AN23" s="128"/>
      <c r="AO23" s="128"/>
    </row>
    <row r="24" spans="1:41" s="122" customFormat="1" ht="15.75">
      <c r="A24" s="186"/>
      <c r="B24" s="187"/>
      <c r="C24" s="187"/>
      <c r="D24" s="212" t="s">
        <v>83</v>
      </c>
      <c r="E24" s="343" t="s">
        <v>45</v>
      </c>
      <c r="F24" s="341"/>
      <c r="G24" s="282"/>
      <c r="H24" s="123"/>
      <c r="I24" s="125"/>
      <c r="J24" s="123"/>
      <c r="K24" s="123"/>
      <c r="L24" s="121">
        <f>$AF24*'Crono Fisico'!L24</f>
        <v>200</v>
      </c>
      <c r="M24" s="121">
        <f>$AF24*'Crono Fisico'!M24</f>
        <v>200</v>
      </c>
      <c r="N24" s="121">
        <f>$AF24*'Crono Fisico'!N24</f>
        <v>200</v>
      </c>
      <c r="O24" s="121">
        <f>$AF24*'Crono Fisico'!O24</f>
        <v>200</v>
      </c>
      <c r="P24" s="147">
        <f>$AF24*'Crono Fisico'!P24</f>
        <v>200</v>
      </c>
      <c r="Q24" s="123"/>
      <c r="R24" s="123"/>
      <c r="S24" s="123"/>
      <c r="T24" s="123"/>
      <c r="U24" s="125"/>
      <c r="V24" s="123"/>
      <c r="W24" s="123"/>
      <c r="X24" s="123"/>
      <c r="Y24" s="125"/>
      <c r="Z24" s="123"/>
      <c r="AA24" s="123"/>
      <c r="AB24" s="140"/>
      <c r="AC24" s="125"/>
      <c r="AD24" s="123"/>
      <c r="AE24" s="123"/>
      <c r="AF24" s="164">
        <v>1000</v>
      </c>
      <c r="AG24" s="150">
        <f t="shared" si="2"/>
        <v>1000</v>
      </c>
      <c r="AH24" s="391">
        <f t="shared" si="3"/>
        <v>0</v>
      </c>
      <c r="AI24" s="128"/>
      <c r="AJ24" s="128"/>
      <c r="AK24" s="128"/>
      <c r="AL24" s="128"/>
      <c r="AM24" s="128"/>
      <c r="AN24" s="128"/>
      <c r="AO24" s="128"/>
    </row>
    <row r="25" spans="1:41" s="122" customFormat="1" ht="15" customHeight="1">
      <c r="A25" s="283" t="s">
        <v>48</v>
      </c>
      <c r="B25" s="284" t="s">
        <v>70</v>
      </c>
      <c r="C25" s="285"/>
      <c r="D25" s="265"/>
      <c r="E25" s="344"/>
      <c r="F25" s="344" t="s">
        <v>41</v>
      </c>
      <c r="G25" s="287">
        <f>SUM(G33:G38)</f>
        <v>0</v>
      </c>
      <c r="H25" s="262">
        <f>SUM(H26:H38)</f>
        <v>16175</v>
      </c>
      <c r="I25" s="262">
        <f t="shared" ref="I25:AE25" si="6">SUM(I26:I38)</f>
        <v>13959.5</v>
      </c>
      <c r="J25" s="262">
        <f t="shared" si="6"/>
        <v>16987.5</v>
      </c>
      <c r="K25" s="262">
        <f t="shared" si="6"/>
        <v>13601</v>
      </c>
      <c r="L25" s="262">
        <f t="shared" si="6"/>
        <v>19487</v>
      </c>
      <c r="M25" s="262">
        <f t="shared" si="6"/>
        <v>17111</v>
      </c>
      <c r="N25" s="262">
        <f t="shared" si="6"/>
        <v>15053</v>
      </c>
      <c r="O25" s="262">
        <f t="shared" si="6"/>
        <v>11167</v>
      </c>
      <c r="P25" s="262">
        <f t="shared" si="6"/>
        <v>6617</v>
      </c>
      <c r="Q25" s="262">
        <f t="shared" si="6"/>
        <v>14107</v>
      </c>
      <c r="R25" s="262">
        <f t="shared" si="6"/>
        <v>14107</v>
      </c>
      <c r="S25" s="262">
        <f t="shared" si="6"/>
        <v>14107</v>
      </c>
      <c r="T25" s="262">
        <f t="shared" si="6"/>
        <v>8156.0000000000009</v>
      </c>
      <c r="U25" s="262">
        <f t="shared" si="6"/>
        <v>8156.0000000000009</v>
      </c>
      <c r="V25" s="262">
        <f t="shared" si="6"/>
        <v>8156.0000000000009</v>
      </c>
      <c r="W25" s="262">
        <f t="shared" si="6"/>
        <v>8156.0000000000009</v>
      </c>
      <c r="X25" s="262">
        <f t="shared" si="6"/>
        <v>8156.0000000000009</v>
      </c>
      <c r="Y25" s="262">
        <f t="shared" si="6"/>
        <v>8156.0000000000009</v>
      </c>
      <c r="Z25" s="262">
        <f t="shared" si="6"/>
        <v>8117.5000000000009</v>
      </c>
      <c r="AA25" s="262">
        <f t="shared" si="6"/>
        <v>7047.5</v>
      </c>
      <c r="AB25" s="262">
        <f t="shared" si="6"/>
        <v>6855</v>
      </c>
      <c r="AC25" s="262">
        <f t="shared" si="6"/>
        <v>6855</v>
      </c>
      <c r="AD25" s="262">
        <f t="shared" si="6"/>
        <v>6855</v>
      </c>
      <c r="AE25" s="262">
        <f t="shared" si="6"/>
        <v>6855</v>
      </c>
      <c r="AF25" s="165">
        <f>SUM(AF26:AF38)</f>
        <v>264000</v>
      </c>
      <c r="AG25" s="150">
        <f t="shared" si="2"/>
        <v>264000</v>
      </c>
      <c r="AH25" s="391">
        <f t="shared" si="3"/>
        <v>0</v>
      </c>
      <c r="AI25" s="128"/>
      <c r="AJ25" s="128"/>
      <c r="AK25" s="128"/>
      <c r="AL25" s="128"/>
      <c r="AM25" s="128"/>
      <c r="AN25" s="128"/>
      <c r="AO25" s="128"/>
    </row>
    <row r="26" spans="1:41" s="122" customFormat="1" ht="30.75" thickBot="1">
      <c r="A26" s="186"/>
      <c r="B26" s="187"/>
      <c r="C26" s="187"/>
      <c r="D26" s="195" t="s">
        <v>72</v>
      </c>
      <c r="E26" s="337"/>
      <c r="F26" s="341" t="s">
        <v>41</v>
      </c>
      <c r="G26" s="345" t="s">
        <v>41</v>
      </c>
      <c r="H26" s="123"/>
      <c r="I26" s="125"/>
      <c r="J26" s="123"/>
      <c r="K26" s="147">
        <f>$AF26*'Crono Fisico'!K26</f>
        <v>231</v>
      </c>
      <c r="L26" s="121">
        <f>$AF26*'Crono Fisico'!L26</f>
        <v>231</v>
      </c>
      <c r="M26" s="121">
        <f>$AF26*'Crono Fisico'!M26</f>
        <v>231</v>
      </c>
      <c r="N26" s="121">
        <f>$AF26*'Crono Fisico'!N26</f>
        <v>231</v>
      </c>
      <c r="O26" s="121">
        <f>$AF26*'Crono Fisico'!O26</f>
        <v>231</v>
      </c>
      <c r="P26" s="147">
        <f>$AF26*'Crono Fisico'!P26</f>
        <v>231</v>
      </c>
      <c r="Q26" s="147">
        <f>$AF26*'Crono Fisico'!Q26</f>
        <v>231</v>
      </c>
      <c r="R26" s="147">
        <f>$AF26*'Crono Fisico'!R26</f>
        <v>231</v>
      </c>
      <c r="S26" s="147">
        <f>$AF26*'Crono Fisico'!S26</f>
        <v>231</v>
      </c>
      <c r="T26" s="147">
        <f>$AF26*'Crono Fisico'!T26</f>
        <v>231</v>
      </c>
      <c r="U26" s="147">
        <f>$AF26*'Crono Fisico'!U26</f>
        <v>231</v>
      </c>
      <c r="V26" s="147">
        <f>$AF26*'Crono Fisico'!V26</f>
        <v>231</v>
      </c>
      <c r="W26" s="147">
        <f>$AF26*'Crono Fisico'!W26</f>
        <v>231</v>
      </c>
      <c r="X26" s="147">
        <f>$AF26*'Crono Fisico'!X26</f>
        <v>231</v>
      </c>
      <c r="Y26" s="147">
        <f>$AF26*'Crono Fisico'!Y26</f>
        <v>231</v>
      </c>
      <c r="Z26" s="147">
        <f>$AF26*'Crono Fisico'!Z26</f>
        <v>192.5</v>
      </c>
      <c r="AA26" s="147">
        <f>$AF26*'Crono Fisico'!AA26</f>
        <v>192.5</v>
      </c>
      <c r="AB26" s="140"/>
      <c r="AC26" s="125"/>
      <c r="AD26" s="123"/>
      <c r="AE26" s="123"/>
      <c r="AF26" s="173">
        <v>3850</v>
      </c>
      <c r="AG26" s="150">
        <f t="shared" si="2"/>
        <v>3850</v>
      </c>
      <c r="AH26" s="391">
        <f t="shared" si="3"/>
        <v>0</v>
      </c>
      <c r="AI26" s="128"/>
      <c r="AJ26" s="128"/>
      <c r="AK26" s="128"/>
      <c r="AL26" s="128"/>
      <c r="AM26" s="128"/>
      <c r="AN26" s="128"/>
      <c r="AO26" s="128"/>
    </row>
    <row r="27" spans="1:41" s="122" customFormat="1" ht="15" customHeight="1">
      <c r="A27" s="222"/>
      <c r="B27" s="223"/>
      <c r="C27" s="224"/>
      <c r="D27" s="225" t="s">
        <v>84</v>
      </c>
      <c r="E27" s="346"/>
      <c r="F27" s="346"/>
      <c r="G27" s="289"/>
      <c r="H27" s="123"/>
      <c r="I27" s="147">
        <f>$AF27*'Crono Fisico'!I27</f>
        <v>315.00000000000006</v>
      </c>
      <c r="J27" s="147">
        <f>$AF27*'Crono Fisico'!J27</f>
        <v>1125</v>
      </c>
      <c r="K27" s="147">
        <f>$AF27*'Crono Fisico'!K27</f>
        <v>900</v>
      </c>
      <c r="L27" s="121">
        <f>$AF27*'Crono Fisico'!L27</f>
        <v>720</v>
      </c>
      <c r="M27" s="121">
        <f>$AF27*'Crono Fisico'!M27</f>
        <v>720</v>
      </c>
      <c r="N27" s="121">
        <f>$AF27*'Crono Fisico'!N27</f>
        <v>720</v>
      </c>
      <c r="O27" s="123"/>
      <c r="P27" s="123"/>
      <c r="Q27" s="125"/>
      <c r="R27" s="123"/>
      <c r="S27" s="123"/>
      <c r="T27" s="123"/>
      <c r="U27" s="125"/>
      <c r="V27" s="123"/>
      <c r="W27" s="123"/>
      <c r="X27" s="123"/>
      <c r="Y27" s="125"/>
      <c r="Z27" s="123"/>
      <c r="AA27" s="123"/>
      <c r="AB27" s="140"/>
      <c r="AC27" s="125"/>
      <c r="AD27" s="123"/>
      <c r="AE27" s="123"/>
      <c r="AF27" s="166">
        <v>4500</v>
      </c>
      <c r="AG27" s="150">
        <f t="shared" si="2"/>
        <v>4500</v>
      </c>
      <c r="AH27" s="391">
        <f t="shared" si="3"/>
        <v>0</v>
      </c>
      <c r="AI27" s="128"/>
      <c r="AJ27" s="128"/>
      <c r="AK27" s="128"/>
      <c r="AL27" s="128"/>
      <c r="AM27" s="128"/>
      <c r="AN27" s="128"/>
      <c r="AO27" s="128"/>
    </row>
    <row r="28" spans="1:41" s="122" customFormat="1" ht="15" customHeight="1">
      <c r="A28" s="222"/>
      <c r="B28" s="223"/>
      <c r="C28" s="224"/>
      <c r="D28" s="225" t="s">
        <v>85</v>
      </c>
      <c r="E28" s="346"/>
      <c r="F28" s="346"/>
      <c r="G28" s="289"/>
      <c r="H28" s="123"/>
      <c r="I28" s="147">
        <f>$AF28*'Crono Fisico'!I28</f>
        <v>532</v>
      </c>
      <c r="J28" s="147">
        <f>$AF28*'Crono Fisico'!J28</f>
        <v>1900</v>
      </c>
      <c r="K28" s="147">
        <f>$AF28*'Crono Fisico'!K28</f>
        <v>1520</v>
      </c>
      <c r="L28" s="121">
        <f>$AF28*'Crono Fisico'!L28</f>
        <v>1216</v>
      </c>
      <c r="M28" s="121">
        <f>$AF28*'Crono Fisico'!M28</f>
        <v>1216</v>
      </c>
      <c r="N28" s="121">
        <f>$AF28*'Crono Fisico'!N28</f>
        <v>1216</v>
      </c>
      <c r="O28" s="123"/>
      <c r="P28" s="123"/>
      <c r="Q28" s="125"/>
      <c r="R28" s="123"/>
      <c r="S28" s="123"/>
      <c r="T28" s="123"/>
      <c r="U28" s="125"/>
      <c r="V28" s="123"/>
      <c r="W28" s="123"/>
      <c r="X28" s="123"/>
      <c r="Y28" s="125"/>
      <c r="Z28" s="123"/>
      <c r="AA28" s="123"/>
      <c r="AB28" s="140"/>
      <c r="AC28" s="125"/>
      <c r="AD28" s="123"/>
      <c r="AE28" s="123"/>
      <c r="AF28" s="166">
        <v>7600</v>
      </c>
      <c r="AG28" s="150">
        <f t="shared" si="2"/>
        <v>7600</v>
      </c>
      <c r="AH28" s="391">
        <f t="shared" si="3"/>
        <v>0</v>
      </c>
      <c r="AI28" s="128"/>
      <c r="AJ28" s="128"/>
      <c r="AK28" s="128"/>
      <c r="AL28" s="128"/>
      <c r="AM28" s="128"/>
      <c r="AN28" s="128"/>
      <c r="AO28" s="128"/>
    </row>
    <row r="29" spans="1:41" s="122" customFormat="1" ht="15" customHeight="1">
      <c r="A29" s="222"/>
      <c r="B29" s="223"/>
      <c r="C29" s="224"/>
      <c r="D29" s="225" t="s">
        <v>86</v>
      </c>
      <c r="E29" s="346"/>
      <c r="F29" s="346"/>
      <c r="G29" s="289"/>
      <c r="H29" s="123"/>
      <c r="I29" s="125"/>
      <c r="J29" s="123"/>
      <c r="K29" s="123"/>
      <c r="L29" s="121">
        <f>$AF29*'Crono Fisico'!L29</f>
        <v>5860</v>
      </c>
      <c r="M29" s="121">
        <f>$AF29*'Crono Fisico'!M29</f>
        <v>4102</v>
      </c>
      <c r="N29" s="121">
        <f>$AF29*'Crono Fisico'!N29</f>
        <v>3223</v>
      </c>
      <c r="O29" s="121">
        <f>$AF29*'Crono Fisico'!O29</f>
        <v>3223</v>
      </c>
      <c r="P29" s="147">
        <f>$AF29*'Crono Fisico'!P29</f>
        <v>3223</v>
      </c>
      <c r="Q29" s="147">
        <f>$AF29*'Crono Fisico'!Q29</f>
        <v>3223</v>
      </c>
      <c r="R29" s="147">
        <f>$AF29*'Crono Fisico'!R29</f>
        <v>3223</v>
      </c>
      <c r="S29" s="147">
        <f>$AF29*'Crono Fisico'!S29</f>
        <v>3223</v>
      </c>
      <c r="T29" s="123"/>
      <c r="U29" s="125"/>
      <c r="V29" s="123"/>
      <c r="W29" s="123"/>
      <c r="X29" s="123"/>
      <c r="Y29" s="125"/>
      <c r="Z29" s="123"/>
      <c r="AA29" s="123"/>
      <c r="AB29" s="140"/>
      <c r="AC29" s="125"/>
      <c r="AD29" s="123"/>
      <c r="AE29" s="123"/>
      <c r="AF29" s="166">
        <v>29300</v>
      </c>
      <c r="AG29" s="150">
        <f t="shared" si="2"/>
        <v>29300</v>
      </c>
      <c r="AH29" s="391">
        <f t="shared" si="3"/>
        <v>0</v>
      </c>
      <c r="AI29" s="128"/>
      <c r="AJ29" s="128"/>
      <c r="AK29" s="128"/>
      <c r="AL29" s="128"/>
      <c r="AM29" s="128"/>
      <c r="AN29" s="128"/>
      <c r="AO29" s="128"/>
    </row>
    <row r="30" spans="1:41" s="122" customFormat="1" ht="15" customHeight="1">
      <c r="A30" s="222"/>
      <c r="B30" s="223"/>
      <c r="C30" s="224"/>
      <c r="D30" s="225" t="s">
        <v>87</v>
      </c>
      <c r="E30" s="346"/>
      <c r="F30" s="346"/>
      <c r="G30" s="289"/>
      <c r="H30" s="123"/>
      <c r="I30" s="125"/>
      <c r="J30" s="123"/>
      <c r="K30" s="123"/>
      <c r="L30" s="121">
        <f>$AF30*'Crono Fisico'!L30</f>
        <v>4960</v>
      </c>
      <c r="M30" s="121">
        <f>$AF30*'Crono Fisico'!M30</f>
        <v>3472.0000000000005</v>
      </c>
      <c r="N30" s="121">
        <f>$AF30*'Crono Fisico'!N30</f>
        <v>2728</v>
      </c>
      <c r="O30" s="121">
        <f>$AF30*'Crono Fisico'!O30</f>
        <v>2728</v>
      </c>
      <c r="P30" s="147">
        <f>$AF30*'Crono Fisico'!P30</f>
        <v>2728</v>
      </c>
      <c r="Q30" s="147">
        <f>$AF30*'Crono Fisico'!Q30</f>
        <v>2728</v>
      </c>
      <c r="R30" s="147">
        <f>$AF30*'Crono Fisico'!R30</f>
        <v>2728</v>
      </c>
      <c r="S30" s="147">
        <f>$AF30*'Crono Fisico'!S30</f>
        <v>2728</v>
      </c>
      <c r="T30" s="123"/>
      <c r="U30" s="125"/>
      <c r="V30" s="123"/>
      <c r="W30" s="123"/>
      <c r="X30" s="123"/>
      <c r="Y30" s="125"/>
      <c r="Z30" s="123"/>
      <c r="AA30" s="123"/>
      <c r="AB30" s="140"/>
      <c r="AC30" s="125"/>
      <c r="AD30" s="123"/>
      <c r="AE30" s="123"/>
      <c r="AF30" s="166">
        <v>24800</v>
      </c>
      <c r="AG30" s="150">
        <f t="shared" si="2"/>
        <v>24800</v>
      </c>
      <c r="AH30" s="391">
        <f t="shared" si="3"/>
        <v>0</v>
      </c>
      <c r="AI30" s="128"/>
      <c r="AJ30" s="128"/>
      <c r="AK30" s="128"/>
      <c r="AL30" s="128"/>
      <c r="AM30" s="128"/>
      <c r="AN30" s="128"/>
      <c r="AO30" s="128"/>
    </row>
    <row r="31" spans="1:41" s="122" customFormat="1" ht="15" customHeight="1">
      <c r="A31" s="222"/>
      <c r="B31" s="223"/>
      <c r="C31" s="224"/>
      <c r="D31" s="225" t="s">
        <v>88</v>
      </c>
      <c r="E31" s="346"/>
      <c r="F31" s="346"/>
      <c r="G31" s="289"/>
      <c r="H31" s="420">
        <f>$AF31*'Crono Fisico'!H31</f>
        <v>3000</v>
      </c>
      <c r="I31" s="420">
        <f>$AF31*'Crono Fisico'!I31</f>
        <v>3000</v>
      </c>
      <c r="J31" s="421"/>
      <c r="K31" s="421"/>
      <c r="L31" s="123"/>
      <c r="M31" s="125"/>
      <c r="N31" s="123"/>
      <c r="O31" s="123"/>
      <c r="P31" s="123"/>
      <c r="Q31" s="125"/>
      <c r="R31" s="123"/>
      <c r="S31" s="123"/>
      <c r="T31" s="123"/>
      <c r="U31" s="125"/>
      <c r="V31" s="123"/>
      <c r="W31" s="123"/>
      <c r="X31" s="123"/>
      <c r="Y31" s="125"/>
      <c r="Z31" s="123"/>
      <c r="AA31" s="123"/>
      <c r="AB31" s="140"/>
      <c r="AC31" s="125"/>
      <c r="AD31" s="123"/>
      <c r="AE31" s="123"/>
      <c r="AF31" s="166">
        <v>6000</v>
      </c>
      <c r="AG31" s="150">
        <f t="shared" si="2"/>
        <v>6000</v>
      </c>
      <c r="AH31" s="391">
        <f t="shared" si="3"/>
        <v>0</v>
      </c>
      <c r="AI31" s="128"/>
      <c r="AJ31" s="128"/>
      <c r="AK31" s="128"/>
      <c r="AL31" s="128"/>
      <c r="AM31" s="128"/>
      <c r="AN31" s="128"/>
      <c r="AO31" s="128"/>
    </row>
    <row r="32" spans="1:41" s="122" customFormat="1" ht="15" customHeight="1">
      <c r="A32" s="222"/>
      <c r="B32" s="223"/>
      <c r="C32" s="224"/>
      <c r="D32" s="225" t="s">
        <v>89</v>
      </c>
      <c r="E32" s="346"/>
      <c r="F32" s="346"/>
      <c r="G32" s="289"/>
      <c r="H32" s="420">
        <f>$AF32*'Crono Fisico'!H32</f>
        <v>3000</v>
      </c>
      <c r="I32" s="420">
        <f>$AF32*'Crono Fisico'!I32</f>
        <v>2100</v>
      </c>
      <c r="J32" s="420">
        <f>$AF32*'Crono Fisico'!J32</f>
        <v>2100</v>
      </c>
      <c r="K32" s="420">
        <f>$AF32*'Crono Fisico'!K32</f>
        <v>1950</v>
      </c>
      <c r="L32" s="423">
        <f>$AF32*'Crono Fisico'!L32</f>
        <v>1950</v>
      </c>
      <c r="M32" s="423">
        <f>$AF32*'Crono Fisico'!M32</f>
        <v>1950</v>
      </c>
      <c r="N32" s="423">
        <f>$AF32*'Crono Fisico'!N32</f>
        <v>1950</v>
      </c>
      <c r="O32" s="421"/>
      <c r="P32" s="123"/>
      <c r="Q32" s="125"/>
      <c r="R32" s="123"/>
      <c r="S32" s="123"/>
      <c r="T32" s="123"/>
      <c r="U32" s="125"/>
      <c r="V32" s="123"/>
      <c r="W32" s="123"/>
      <c r="X32" s="123"/>
      <c r="Y32" s="125"/>
      <c r="Z32" s="123"/>
      <c r="AA32" s="123"/>
      <c r="AB32" s="140"/>
      <c r="AC32" s="125"/>
      <c r="AD32" s="123"/>
      <c r="AE32" s="123"/>
      <c r="AF32" s="166">
        <v>15000</v>
      </c>
      <c r="AG32" s="150">
        <f t="shared" si="2"/>
        <v>15000</v>
      </c>
      <c r="AH32" s="391">
        <f t="shared" si="3"/>
        <v>0</v>
      </c>
      <c r="AI32" s="128"/>
      <c r="AJ32" s="128"/>
      <c r="AK32" s="128"/>
      <c r="AL32" s="128"/>
      <c r="AM32" s="128"/>
      <c r="AN32" s="128"/>
      <c r="AO32" s="128"/>
    </row>
    <row r="33" spans="1:41" s="122" customFormat="1" ht="15" customHeight="1">
      <c r="A33" s="186"/>
      <c r="B33" s="226"/>
      <c r="C33" s="226"/>
      <c r="D33" s="225" t="s">
        <v>90</v>
      </c>
      <c r="E33" s="347"/>
      <c r="F33" s="347"/>
      <c r="G33" s="291"/>
      <c r="H33" s="420">
        <f>$AF33*'Crono Fisico'!H33</f>
        <v>3500</v>
      </c>
      <c r="I33" s="420">
        <f>$AF33*'Crono Fisico'!I33</f>
        <v>2450.0000000000005</v>
      </c>
      <c r="J33" s="420">
        <f>$AF33*'Crono Fisico'!J33</f>
        <v>1925</v>
      </c>
      <c r="K33" s="420">
        <f>$AF33*'Crono Fisico'!K33</f>
        <v>1925</v>
      </c>
      <c r="L33" s="423">
        <f>$AF33*'Crono Fisico'!L33</f>
        <v>1925</v>
      </c>
      <c r="M33" s="423">
        <f>$AF33*'Crono Fisico'!M33</f>
        <v>1925</v>
      </c>
      <c r="N33" s="423">
        <f>$AF33*'Crono Fisico'!N33</f>
        <v>1925</v>
      </c>
      <c r="O33" s="423">
        <f>$AF33*'Crono Fisico'!O33</f>
        <v>1925</v>
      </c>
      <c r="P33" s="123"/>
      <c r="Q33" s="125"/>
      <c r="R33" s="123"/>
      <c r="S33" s="123"/>
      <c r="T33" s="123"/>
      <c r="U33" s="125"/>
      <c r="V33" s="123"/>
      <c r="W33" s="123"/>
      <c r="X33" s="123"/>
      <c r="Y33" s="125"/>
      <c r="Z33" s="123"/>
      <c r="AA33" s="123"/>
      <c r="AB33" s="140"/>
      <c r="AC33" s="125"/>
      <c r="AD33" s="123"/>
      <c r="AE33" s="123"/>
      <c r="AF33" s="166">
        <v>17500</v>
      </c>
      <c r="AG33" s="150">
        <f t="shared" si="2"/>
        <v>17500</v>
      </c>
      <c r="AH33" s="391">
        <f t="shared" si="3"/>
        <v>0</v>
      </c>
      <c r="AI33" s="128"/>
      <c r="AJ33" s="128"/>
      <c r="AK33" s="128"/>
      <c r="AL33" s="128"/>
      <c r="AM33" s="128"/>
      <c r="AN33" s="128"/>
      <c r="AO33" s="128"/>
    </row>
    <row r="34" spans="1:41" s="122" customFormat="1" ht="15" customHeight="1">
      <c r="A34" s="186"/>
      <c r="B34" s="226"/>
      <c r="C34" s="226"/>
      <c r="D34" s="225" t="s">
        <v>91</v>
      </c>
      <c r="E34" s="347"/>
      <c r="F34" s="347"/>
      <c r="G34" s="291"/>
      <c r="H34" s="421"/>
      <c r="I34" s="422"/>
      <c r="J34" s="420">
        <f>$AF34*'Crono Fisico'!J34</f>
        <v>4375</v>
      </c>
      <c r="K34" s="420">
        <f>$AF34*'Crono Fisico'!K34</f>
        <v>2625</v>
      </c>
      <c r="L34" s="423">
        <f>$AF34*'Crono Fisico'!L34</f>
        <v>2625</v>
      </c>
      <c r="M34" s="423">
        <f>$AF34*'Crono Fisico'!M34</f>
        <v>2625</v>
      </c>
      <c r="N34" s="423">
        <f>$AF34*'Crono Fisico'!N34</f>
        <v>2625</v>
      </c>
      <c r="O34" s="423">
        <f>$AF34*'Crono Fisico'!O34</f>
        <v>2625</v>
      </c>
      <c r="P34" s="125"/>
      <c r="Q34" s="125"/>
      <c r="R34" s="123"/>
      <c r="S34" s="123"/>
      <c r="T34" s="123"/>
      <c r="U34" s="125"/>
      <c r="V34" s="123"/>
      <c r="W34" s="123"/>
      <c r="X34" s="123"/>
      <c r="Y34" s="125"/>
      <c r="Z34" s="123"/>
      <c r="AA34" s="123"/>
      <c r="AB34" s="140"/>
      <c r="AC34" s="125"/>
      <c r="AD34" s="123"/>
      <c r="AE34" s="123"/>
      <c r="AF34" s="166">
        <v>17500</v>
      </c>
      <c r="AG34" s="150">
        <f t="shared" si="2"/>
        <v>17500</v>
      </c>
      <c r="AH34" s="391">
        <f t="shared" si="3"/>
        <v>0</v>
      </c>
      <c r="AI34" s="128"/>
      <c r="AJ34" s="128"/>
      <c r="AK34" s="128"/>
      <c r="AL34" s="128"/>
      <c r="AM34" s="128"/>
      <c r="AN34" s="128"/>
      <c r="AO34" s="128"/>
    </row>
    <row r="35" spans="1:41" s="122" customFormat="1" ht="15" customHeight="1">
      <c r="A35" s="186"/>
      <c r="B35" s="226"/>
      <c r="C35" s="226"/>
      <c r="D35" s="225" t="s">
        <v>92</v>
      </c>
      <c r="E35" s="347"/>
      <c r="F35" s="347"/>
      <c r="G35" s="291"/>
      <c r="H35" s="420">
        <f>$AF35*'Crono Fisico'!H35</f>
        <v>5250</v>
      </c>
      <c r="I35" s="420">
        <f>$AF35*'Crono Fisico'!I35</f>
        <v>4375</v>
      </c>
      <c r="J35" s="420">
        <f>$AF35*'Crono Fisico'!J35</f>
        <v>4375</v>
      </c>
      <c r="K35" s="420">
        <f>$AF35*'Crono Fisico'!K35</f>
        <v>3500</v>
      </c>
      <c r="L35" s="123"/>
      <c r="M35" s="125"/>
      <c r="N35" s="123"/>
      <c r="O35" s="123"/>
      <c r="P35" s="123"/>
      <c r="Q35" s="125"/>
      <c r="R35" s="123"/>
      <c r="S35" s="123"/>
      <c r="T35" s="123"/>
      <c r="U35" s="125"/>
      <c r="V35" s="123"/>
      <c r="W35" s="123"/>
      <c r="X35" s="123"/>
      <c r="Y35" s="125"/>
      <c r="Z35" s="123"/>
      <c r="AA35" s="123"/>
      <c r="AB35" s="140"/>
      <c r="AC35" s="125"/>
      <c r="AD35" s="123"/>
      <c r="AE35" s="123"/>
      <c r="AF35" s="166">
        <v>17500</v>
      </c>
      <c r="AG35" s="150">
        <f t="shared" si="2"/>
        <v>17500</v>
      </c>
      <c r="AH35" s="391">
        <f t="shared" si="3"/>
        <v>0</v>
      </c>
      <c r="AI35" s="128"/>
      <c r="AJ35" s="128"/>
      <c r="AK35" s="128"/>
      <c r="AL35" s="128"/>
      <c r="AM35" s="128"/>
      <c r="AN35" s="128"/>
      <c r="AO35" s="128"/>
    </row>
    <row r="36" spans="1:41" s="122" customFormat="1" ht="15" customHeight="1">
      <c r="A36" s="186"/>
      <c r="B36" s="226"/>
      <c r="C36" s="226"/>
      <c r="D36" s="225" t="s">
        <v>93</v>
      </c>
      <c r="E36" s="347"/>
      <c r="F36" s="347"/>
      <c r="G36" s="291"/>
      <c r="H36" s="420">
        <f>$AF36*'Crono Fisico'!H36</f>
        <v>1425</v>
      </c>
      <c r="I36" s="420">
        <f>$AF36*'Crono Fisico'!I36</f>
        <v>1187.5</v>
      </c>
      <c r="J36" s="420">
        <f>$AF36*'Crono Fisico'!J36</f>
        <v>1187.5</v>
      </c>
      <c r="K36" s="420">
        <f>$AF36*'Crono Fisico'!K36</f>
        <v>950</v>
      </c>
      <c r="L36" s="123"/>
      <c r="M36" s="125"/>
      <c r="N36" s="123"/>
      <c r="O36" s="123"/>
      <c r="P36" s="123"/>
      <c r="Q36" s="125"/>
      <c r="R36" s="123"/>
      <c r="S36" s="123"/>
      <c r="T36" s="123"/>
      <c r="U36" s="125"/>
      <c r="V36" s="123"/>
      <c r="W36" s="123"/>
      <c r="X36" s="123"/>
      <c r="Y36" s="125"/>
      <c r="Z36" s="123"/>
      <c r="AA36" s="123"/>
      <c r="AB36" s="140"/>
      <c r="AC36" s="125"/>
      <c r="AD36" s="123"/>
      <c r="AE36" s="123"/>
      <c r="AF36" s="173">
        <v>4750</v>
      </c>
      <c r="AG36" s="150">
        <f t="shared" si="2"/>
        <v>4750</v>
      </c>
      <c r="AH36" s="391">
        <f t="shared" si="3"/>
        <v>0</v>
      </c>
      <c r="AI36" s="128"/>
      <c r="AJ36" s="128"/>
      <c r="AK36" s="128"/>
      <c r="AL36" s="128"/>
      <c r="AM36" s="128"/>
      <c r="AN36" s="128"/>
      <c r="AO36" s="128"/>
    </row>
    <row r="37" spans="1:41" s="122" customFormat="1" ht="15" customHeight="1">
      <c r="A37" s="186"/>
      <c r="B37" s="226"/>
      <c r="C37" s="226"/>
      <c r="D37" s="225" t="s">
        <v>94</v>
      </c>
      <c r="E37" s="347"/>
      <c r="F37" s="347"/>
      <c r="G37" s="291"/>
      <c r="H37" s="123"/>
      <c r="I37" s="125"/>
      <c r="J37" s="123"/>
      <c r="K37" s="123"/>
      <c r="L37" s="123"/>
      <c r="M37" s="125"/>
      <c r="N37" s="123"/>
      <c r="O37" s="123"/>
      <c r="P37" s="123"/>
      <c r="Q37" s="147">
        <f>$AF37*'Crono Fisico'!Q37</f>
        <v>7490.0000000000009</v>
      </c>
      <c r="R37" s="147">
        <f>$AF37*'Crono Fisico'!R37</f>
        <v>7490.0000000000009</v>
      </c>
      <c r="S37" s="147">
        <f>$AF37*'Crono Fisico'!S37</f>
        <v>7490.0000000000009</v>
      </c>
      <c r="T37" s="147">
        <f>$AF37*'Crono Fisico'!T37</f>
        <v>7490.0000000000009</v>
      </c>
      <c r="U37" s="147">
        <f>$AF37*'Crono Fisico'!U37</f>
        <v>7490.0000000000009</v>
      </c>
      <c r="V37" s="147">
        <f>$AF37*'Crono Fisico'!V37</f>
        <v>7490.0000000000009</v>
      </c>
      <c r="W37" s="147">
        <f>$AF37*'Crono Fisico'!W37</f>
        <v>7490.0000000000009</v>
      </c>
      <c r="X37" s="147">
        <f>$AF37*'Crono Fisico'!X37</f>
        <v>7490.0000000000009</v>
      </c>
      <c r="Y37" s="147">
        <f>$AF37*'Crono Fisico'!Y37</f>
        <v>7490.0000000000009</v>
      </c>
      <c r="Z37" s="147">
        <f>$AF37*'Crono Fisico'!Z37</f>
        <v>7490.0000000000009</v>
      </c>
      <c r="AA37" s="147">
        <f>$AF37*'Crono Fisico'!AA37</f>
        <v>6420</v>
      </c>
      <c r="AB37" s="147">
        <f>$AF37*'Crono Fisico'!AB37</f>
        <v>6420</v>
      </c>
      <c r="AC37" s="147">
        <f>$AF37*'Crono Fisico'!AC37</f>
        <v>6420</v>
      </c>
      <c r="AD37" s="147">
        <f>$AF37*'Crono Fisico'!AD37</f>
        <v>6420</v>
      </c>
      <c r="AE37" s="147">
        <f>$AF37*'Crono Fisico'!AE37</f>
        <v>6420</v>
      </c>
      <c r="AF37" s="166">
        <f>96770+10230</f>
        <v>107000</v>
      </c>
      <c r="AG37" s="150">
        <f t="shared" si="2"/>
        <v>107000.00000000001</v>
      </c>
      <c r="AH37" s="391">
        <f t="shared" si="3"/>
        <v>0</v>
      </c>
      <c r="AI37" s="128"/>
      <c r="AJ37" s="128"/>
      <c r="AK37" s="128"/>
      <c r="AL37" s="128"/>
      <c r="AM37" s="128"/>
      <c r="AN37" s="128"/>
      <c r="AO37" s="128"/>
    </row>
    <row r="38" spans="1:41" s="122" customFormat="1" ht="15" customHeight="1" thickBot="1">
      <c r="A38" s="186"/>
      <c r="B38" s="226"/>
      <c r="C38" s="227"/>
      <c r="D38" s="225" t="s">
        <v>95</v>
      </c>
      <c r="E38" s="347"/>
      <c r="F38" s="347"/>
      <c r="G38" s="291"/>
      <c r="H38" s="123"/>
      <c r="I38" s="125"/>
      <c r="J38" s="123"/>
      <c r="K38" s="123"/>
      <c r="L38" s="123"/>
      <c r="M38" s="121">
        <f>$AF38*'Crono Fisico'!M38</f>
        <v>870</v>
      </c>
      <c r="N38" s="121">
        <f>$AF38*'Crono Fisico'!N38</f>
        <v>435</v>
      </c>
      <c r="O38" s="121">
        <f>$AF38*'Crono Fisico'!O38</f>
        <v>435</v>
      </c>
      <c r="P38" s="147">
        <f>$AF38*'Crono Fisico'!P38</f>
        <v>435</v>
      </c>
      <c r="Q38" s="147">
        <f>$AF38*'Crono Fisico'!Q38</f>
        <v>435</v>
      </c>
      <c r="R38" s="147">
        <f>$AF38*'Crono Fisico'!R38</f>
        <v>435</v>
      </c>
      <c r="S38" s="147">
        <f>$AF38*'Crono Fisico'!S38</f>
        <v>435</v>
      </c>
      <c r="T38" s="147">
        <f>$AF38*'Crono Fisico'!T38</f>
        <v>435</v>
      </c>
      <c r="U38" s="147">
        <f>$AF38*'Crono Fisico'!U38</f>
        <v>435</v>
      </c>
      <c r="V38" s="147">
        <f>$AF38*'Crono Fisico'!V38</f>
        <v>435</v>
      </c>
      <c r="W38" s="147">
        <f>$AF38*'Crono Fisico'!W38</f>
        <v>435</v>
      </c>
      <c r="X38" s="147">
        <f>$AF38*'Crono Fisico'!X38</f>
        <v>435</v>
      </c>
      <c r="Y38" s="147">
        <f>$AF38*'Crono Fisico'!Y38</f>
        <v>435</v>
      </c>
      <c r="Z38" s="147">
        <f>$AF38*'Crono Fisico'!Z38</f>
        <v>435</v>
      </c>
      <c r="AA38" s="147">
        <f>$AF38*'Crono Fisico'!AA38</f>
        <v>435</v>
      </c>
      <c r="AB38" s="147">
        <f>$AF38*'Crono Fisico'!AB38</f>
        <v>435</v>
      </c>
      <c r="AC38" s="147">
        <f>$AF38*'Crono Fisico'!AC38</f>
        <v>435</v>
      </c>
      <c r="AD38" s="147">
        <f>$AF38*'Crono Fisico'!AD38</f>
        <v>435</v>
      </c>
      <c r="AE38" s="147">
        <f>$AF38*'Crono Fisico'!AE38</f>
        <v>435</v>
      </c>
      <c r="AF38" s="166">
        <v>8700</v>
      </c>
      <c r="AG38" s="150">
        <f t="shared" si="2"/>
        <v>8700</v>
      </c>
      <c r="AH38" s="391">
        <f t="shared" si="3"/>
        <v>0</v>
      </c>
      <c r="AI38" s="128"/>
      <c r="AJ38" s="128"/>
      <c r="AK38" s="128"/>
      <c r="AL38" s="128"/>
      <c r="AM38" s="128"/>
      <c r="AN38" s="128"/>
      <c r="AO38" s="128"/>
    </row>
    <row r="39" spans="1:41" s="122" customFormat="1" ht="15" customHeight="1">
      <c r="A39" s="292" t="s">
        <v>19</v>
      </c>
      <c r="B39" s="828" t="s">
        <v>170</v>
      </c>
      <c r="C39" s="829"/>
      <c r="D39" s="830"/>
      <c r="E39" s="348"/>
      <c r="F39" s="348" t="s">
        <v>41</v>
      </c>
      <c r="G39" s="294"/>
      <c r="H39" s="262">
        <f>SUM(H40:H49)</f>
        <v>0</v>
      </c>
      <c r="I39" s="262">
        <f t="shared" ref="I39:AE39" si="7">SUM(I40:I49)</f>
        <v>0</v>
      </c>
      <c r="J39" s="262">
        <f t="shared" si="7"/>
        <v>275</v>
      </c>
      <c r="K39" s="262">
        <f t="shared" si="7"/>
        <v>587.4</v>
      </c>
      <c r="L39" s="262">
        <f t="shared" si="7"/>
        <v>854.9</v>
      </c>
      <c r="M39" s="262">
        <f t="shared" si="7"/>
        <v>1315.4</v>
      </c>
      <c r="N39" s="262">
        <f t="shared" si="7"/>
        <v>1059.4000000000001</v>
      </c>
      <c r="O39" s="262">
        <f t="shared" si="7"/>
        <v>983.9</v>
      </c>
      <c r="P39" s="262">
        <f t="shared" si="7"/>
        <v>861.1</v>
      </c>
      <c r="Q39" s="262">
        <f t="shared" si="7"/>
        <v>893.1</v>
      </c>
      <c r="R39" s="262">
        <f t="shared" si="7"/>
        <v>926.1</v>
      </c>
      <c r="S39" s="262">
        <f t="shared" si="7"/>
        <v>667.1</v>
      </c>
      <c r="T39" s="262">
        <f t="shared" si="7"/>
        <v>585.6</v>
      </c>
      <c r="U39" s="262">
        <f t="shared" si="7"/>
        <v>612.6</v>
      </c>
      <c r="V39" s="262">
        <f t="shared" si="7"/>
        <v>590.6</v>
      </c>
      <c r="W39" s="262">
        <f t="shared" si="7"/>
        <v>539</v>
      </c>
      <c r="X39" s="262">
        <f t="shared" si="7"/>
        <v>525.6</v>
      </c>
      <c r="Y39" s="262">
        <f t="shared" si="7"/>
        <v>547.6</v>
      </c>
      <c r="Z39" s="262">
        <f t="shared" si="7"/>
        <v>525.6</v>
      </c>
      <c r="AA39" s="262">
        <f t="shared" si="7"/>
        <v>525.6</v>
      </c>
      <c r="AB39" s="262">
        <f t="shared" si="7"/>
        <v>525.6</v>
      </c>
      <c r="AC39" s="262">
        <f t="shared" si="7"/>
        <v>547.6</v>
      </c>
      <c r="AD39" s="262">
        <f t="shared" si="7"/>
        <v>525.6</v>
      </c>
      <c r="AE39" s="262">
        <f t="shared" si="7"/>
        <v>525.6</v>
      </c>
      <c r="AF39" s="258">
        <f>AF40+AF41+AF42+AF43+AF44+AF45+AF46+AF47+AF48+AF49</f>
        <v>15000</v>
      </c>
      <c r="AG39" s="395">
        <f t="shared" si="2"/>
        <v>15000.000000000005</v>
      </c>
      <c r="AH39" s="396">
        <f t="shared" si="3"/>
        <v>0</v>
      </c>
      <c r="AI39" s="128"/>
      <c r="AJ39" s="128"/>
      <c r="AK39" s="128"/>
      <c r="AL39" s="128"/>
      <c r="AM39" s="128"/>
      <c r="AN39" s="128"/>
      <c r="AO39" s="128"/>
    </row>
    <row r="40" spans="1:41" s="122" customFormat="1" ht="30">
      <c r="A40" s="231"/>
      <c r="B40" s="232"/>
      <c r="C40" s="232"/>
      <c r="D40" s="233" t="s">
        <v>109</v>
      </c>
      <c r="E40" s="349"/>
      <c r="F40" s="349"/>
      <c r="G40" s="296"/>
      <c r="H40" s="123"/>
      <c r="I40" s="125"/>
      <c r="J40" s="147">
        <f>$AF40*'Crono Fisico'!J40</f>
        <v>208</v>
      </c>
      <c r="K40" s="147">
        <f>$AF40*'Crono Fisico'!K40</f>
        <v>208</v>
      </c>
      <c r="L40" s="121">
        <f>$AF40*'Crono Fisico'!L40</f>
        <v>208</v>
      </c>
      <c r="M40" s="121">
        <f>$AF40*'Crono Fisico'!M40</f>
        <v>234</v>
      </c>
      <c r="N40" s="121">
        <f>$AF40*'Crono Fisico'!N40</f>
        <v>78</v>
      </c>
      <c r="O40" s="121">
        <f>$AF40*'Crono Fisico'!O40</f>
        <v>78</v>
      </c>
      <c r="P40" s="147">
        <f>$AF40*'Crono Fisico'!P40</f>
        <v>78</v>
      </c>
      <c r="Q40" s="147">
        <f>$AF40*'Crono Fisico'!Q40</f>
        <v>78</v>
      </c>
      <c r="R40" s="147">
        <f>$AF40*'Crono Fisico'!R40</f>
        <v>78</v>
      </c>
      <c r="S40" s="147">
        <f>$AF40*'Crono Fisico'!S40</f>
        <v>104</v>
      </c>
      <c r="T40" s="147">
        <f>$AF40*'Crono Fisico'!T40</f>
        <v>104</v>
      </c>
      <c r="U40" s="147">
        <f>$AF40*'Crono Fisico'!U40</f>
        <v>104</v>
      </c>
      <c r="V40" s="147">
        <f>$AF40*'Crono Fisico'!V40</f>
        <v>104</v>
      </c>
      <c r="W40" s="147">
        <f>$AF40*'Crono Fisico'!W40</f>
        <v>104</v>
      </c>
      <c r="X40" s="147">
        <f>$AF40*'Crono Fisico'!X40</f>
        <v>104</v>
      </c>
      <c r="Y40" s="147">
        <f>$AF40*'Crono Fisico'!Y40</f>
        <v>104</v>
      </c>
      <c r="Z40" s="147">
        <f>$AF40*'Crono Fisico'!Z40</f>
        <v>104</v>
      </c>
      <c r="AA40" s="147">
        <f>$AF40*'Crono Fisico'!AA40</f>
        <v>104</v>
      </c>
      <c r="AB40" s="147">
        <f>$AF40*'Crono Fisico'!AB40</f>
        <v>104</v>
      </c>
      <c r="AC40" s="147">
        <f>$AF40*'Crono Fisico'!AC40</f>
        <v>104</v>
      </c>
      <c r="AD40" s="147">
        <f>$AF40*'Crono Fisico'!AD40</f>
        <v>104</v>
      </c>
      <c r="AE40" s="147">
        <f>$AF40*'Crono Fisico'!AE40</f>
        <v>104</v>
      </c>
      <c r="AF40" s="173">
        <v>2600</v>
      </c>
      <c r="AG40" s="150">
        <f t="shared" si="2"/>
        <v>2600</v>
      </c>
      <c r="AH40" s="391">
        <f t="shared" si="3"/>
        <v>0</v>
      </c>
      <c r="AI40" s="128"/>
      <c r="AJ40" s="128"/>
      <c r="AK40" s="128"/>
      <c r="AL40" s="128"/>
      <c r="AM40" s="128"/>
      <c r="AN40" s="128"/>
      <c r="AO40" s="128"/>
    </row>
    <row r="41" spans="1:41" s="122" customFormat="1" ht="15" customHeight="1">
      <c r="A41" s="231"/>
      <c r="B41" s="232"/>
      <c r="C41" s="232"/>
      <c r="D41" s="238" t="s">
        <v>98</v>
      </c>
      <c r="E41" s="349"/>
      <c r="F41" s="349"/>
      <c r="G41" s="296"/>
      <c r="H41" s="123"/>
      <c r="I41" s="125"/>
      <c r="J41" s="123"/>
      <c r="K41" s="147">
        <f>$AF41*'Crono Fisico'!K41</f>
        <v>182.4</v>
      </c>
      <c r="L41" s="121">
        <f>$AF41*'Crono Fisico'!L41</f>
        <v>182.4</v>
      </c>
      <c r="M41" s="121">
        <f>$AF41*'Crono Fisico'!M41</f>
        <v>182.4</v>
      </c>
      <c r="N41" s="121">
        <f>$AF41*'Crono Fisico'!N41</f>
        <v>182.4</v>
      </c>
      <c r="O41" s="121">
        <f>$AF41*'Crono Fisico'!O41</f>
        <v>182.4</v>
      </c>
      <c r="P41" s="147">
        <f>$AF41*'Crono Fisico'!P41</f>
        <v>228</v>
      </c>
      <c r="Q41" s="147">
        <f>$AF41*'Crono Fisico'!Q41</f>
        <v>228</v>
      </c>
      <c r="R41" s="147">
        <f>$AF41*'Crono Fisico'!R41</f>
        <v>228</v>
      </c>
      <c r="S41" s="147">
        <f>$AF41*'Crono Fisico'!S41</f>
        <v>228</v>
      </c>
      <c r="T41" s="147">
        <f>$AF41*'Crono Fisico'!T41</f>
        <v>228</v>
      </c>
      <c r="U41" s="147">
        <f>$AF41*'Crono Fisico'!U41</f>
        <v>228</v>
      </c>
      <c r="V41" s="147">
        <f>$AF41*'Crono Fisico'!V41</f>
        <v>228</v>
      </c>
      <c r="W41" s="147">
        <f>$AF41*'Crono Fisico'!W41</f>
        <v>228</v>
      </c>
      <c r="X41" s="147">
        <f>$AF41*'Crono Fisico'!X41</f>
        <v>228</v>
      </c>
      <c r="Y41" s="147">
        <f>$AF41*'Crono Fisico'!Y41</f>
        <v>228</v>
      </c>
      <c r="Z41" s="147">
        <f>$AF41*'Crono Fisico'!Z41</f>
        <v>228</v>
      </c>
      <c r="AA41" s="147">
        <f>$AF41*'Crono Fisico'!AA41</f>
        <v>228</v>
      </c>
      <c r="AB41" s="147">
        <f>$AF41*'Crono Fisico'!AB41</f>
        <v>228</v>
      </c>
      <c r="AC41" s="147">
        <f>$AF41*'Crono Fisico'!AC41</f>
        <v>228</v>
      </c>
      <c r="AD41" s="147">
        <f>$AF41*'Crono Fisico'!AD41</f>
        <v>228</v>
      </c>
      <c r="AE41" s="147">
        <f>$AF41*'Crono Fisico'!AE41</f>
        <v>228</v>
      </c>
      <c r="AF41" s="166">
        <v>4560</v>
      </c>
      <c r="AG41" s="150">
        <f t="shared" si="2"/>
        <v>4560</v>
      </c>
      <c r="AH41" s="391">
        <f t="shared" si="3"/>
        <v>0</v>
      </c>
      <c r="AI41" s="128"/>
      <c r="AJ41" s="128"/>
      <c r="AK41" s="128"/>
      <c r="AL41" s="128"/>
      <c r="AM41" s="128"/>
      <c r="AN41" s="128"/>
      <c r="AO41" s="128"/>
    </row>
    <row r="42" spans="1:41" s="122" customFormat="1" ht="15.75">
      <c r="A42" s="231"/>
      <c r="B42" s="232"/>
      <c r="C42" s="232"/>
      <c r="D42" s="209" t="s">
        <v>96</v>
      </c>
      <c r="E42" s="349"/>
      <c r="F42" s="349"/>
      <c r="G42" s="296"/>
      <c r="H42" s="123"/>
      <c r="I42" s="125"/>
      <c r="J42" s="123"/>
      <c r="K42" s="123"/>
      <c r="L42" s="123"/>
      <c r="M42" s="121">
        <f>$AF42*'Crono Fisico'!M42</f>
        <v>132</v>
      </c>
      <c r="N42" s="121">
        <f>$AF42*'Crono Fisico'!N42</f>
        <v>110</v>
      </c>
      <c r="O42" s="121">
        <f>$AF42*'Crono Fisico'!O42</f>
        <v>110</v>
      </c>
      <c r="P42" s="147">
        <f>$AF42*'Crono Fisico'!P42</f>
        <v>110</v>
      </c>
      <c r="Q42" s="147">
        <f>$AF42*'Crono Fisico'!Q42</f>
        <v>132</v>
      </c>
      <c r="R42" s="147">
        <f>$AF42*'Crono Fisico'!R42</f>
        <v>110</v>
      </c>
      <c r="S42" s="147">
        <f>$AF42*'Crono Fisico'!S42</f>
        <v>110</v>
      </c>
      <c r="T42" s="147">
        <f>$AF42*'Crono Fisico'!T42</f>
        <v>110</v>
      </c>
      <c r="U42" s="147">
        <f>$AF42*'Crono Fisico'!U42</f>
        <v>132</v>
      </c>
      <c r="V42" s="147">
        <f>$AF42*'Crono Fisico'!V42</f>
        <v>110</v>
      </c>
      <c r="W42" s="147">
        <f>$AF42*'Crono Fisico'!W42</f>
        <v>110</v>
      </c>
      <c r="X42" s="147">
        <f>$AF42*'Crono Fisico'!X42</f>
        <v>110</v>
      </c>
      <c r="Y42" s="147">
        <f>$AF42*'Crono Fisico'!Y42</f>
        <v>132</v>
      </c>
      <c r="Z42" s="147">
        <f>$AF42*'Crono Fisico'!Z42</f>
        <v>110</v>
      </c>
      <c r="AA42" s="147">
        <f>$AF42*'Crono Fisico'!AA42</f>
        <v>110</v>
      </c>
      <c r="AB42" s="147">
        <f>$AF42*'Crono Fisico'!AB42</f>
        <v>110</v>
      </c>
      <c r="AC42" s="147">
        <f>$AF42*'Crono Fisico'!AC42</f>
        <v>132</v>
      </c>
      <c r="AD42" s="147">
        <f>$AF42*'Crono Fisico'!AD42</f>
        <v>110</v>
      </c>
      <c r="AE42" s="147">
        <f>$AF42*'Crono Fisico'!AE42</f>
        <v>110</v>
      </c>
      <c r="AF42" s="166">
        <v>2200</v>
      </c>
      <c r="AG42" s="150">
        <f t="shared" si="2"/>
        <v>2200</v>
      </c>
      <c r="AH42" s="391">
        <f t="shared" si="3"/>
        <v>0</v>
      </c>
      <c r="AI42" s="128"/>
      <c r="AJ42" s="128"/>
      <c r="AK42" s="128"/>
      <c r="AL42" s="128"/>
      <c r="AM42" s="128"/>
      <c r="AN42" s="128"/>
      <c r="AO42" s="128"/>
    </row>
    <row r="43" spans="1:41" s="122" customFormat="1" ht="30">
      <c r="A43" s="231"/>
      <c r="B43" s="232"/>
      <c r="C43" s="232"/>
      <c r="D43" s="243" t="s">
        <v>99</v>
      </c>
      <c r="E43" s="349"/>
      <c r="F43" s="349"/>
      <c r="G43" s="296"/>
      <c r="H43" s="123"/>
      <c r="I43" s="125"/>
      <c r="J43" s="123"/>
      <c r="K43" s="147">
        <f>$AF43*'Crono Fisico'!K43</f>
        <v>130</v>
      </c>
      <c r="L43" s="121">
        <f>$AF43*'Crono Fisico'!L43</f>
        <v>120</v>
      </c>
      <c r="M43" s="121">
        <f>$AF43*'Crono Fisico'!M43</f>
        <v>120</v>
      </c>
      <c r="N43" s="121">
        <f>$AF43*'Crono Fisico'!N43</f>
        <v>130</v>
      </c>
      <c r="O43" s="121">
        <f>$AF43*'Crono Fisico'!O43</f>
        <v>120</v>
      </c>
      <c r="P43" s="147">
        <f>$AF43*'Crono Fisico'!P43</f>
        <v>120</v>
      </c>
      <c r="Q43" s="147">
        <f>$AF43*'Crono Fisico'!Q43</f>
        <v>130</v>
      </c>
      <c r="R43" s="147">
        <f>$AF43*'Crono Fisico'!R43</f>
        <v>130</v>
      </c>
      <c r="S43" s="123"/>
      <c r="T43" s="123"/>
      <c r="U43" s="125"/>
      <c r="V43" s="123"/>
      <c r="W43" s="123"/>
      <c r="X43" s="123"/>
      <c r="Y43" s="125"/>
      <c r="Z43" s="123"/>
      <c r="AA43" s="123"/>
      <c r="AB43" s="140"/>
      <c r="AC43" s="125"/>
      <c r="AD43" s="123"/>
      <c r="AE43" s="123"/>
      <c r="AF43" s="166">
        <v>1000</v>
      </c>
      <c r="AG43" s="150">
        <f t="shared" si="2"/>
        <v>1000</v>
      </c>
      <c r="AH43" s="391">
        <f t="shared" si="3"/>
        <v>0</v>
      </c>
      <c r="AI43" s="128"/>
      <c r="AJ43" s="128"/>
      <c r="AK43" s="128"/>
      <c r="AL43" s="128"/>
      <c r="AM43" s="128"/>
      <c r="AN43" s="128"/>
      <c r="AO43" s="128"/>
    </row>
    <row r="44" spans="1:41" s="122" customFormat="1" ht="15.75">
      <c r="A44" s="231"/>
      <c r="B44" s="232"/>
      <c r="C44" s="232"/>
      <c r="D44" s="243" t="s">
        <v>107</v>
      </c>
      <c r="E44" s="349"/>
      <c r="F44" s="349"/>
      <c r="G44" s="296"/>
      <c r="H44" s="123"/>
      <c r="I44" s="125"/>
      <c r="J44" s="123"/>
      <c r="K44" s="123"/>
      <c r="L44" s="123"/>
      <c r="M44" s="125"/>
      <c r="N44" s="123"/>
      <c r="O44" s="121">
        <f>$AF44*'Crono Fisico'!O44</f>
        <v>65</v>
      </c>
      <c r="P44" s="147">
        <f>$AF44*'Crono Fisico'!P44</f>
        <v>60</v>
      </c>
      <c r="Q44" s="147">
        <f>$AF44*'Crono Fisico'!Q44</f>
        <v>60</v>
      </c>
      <c r="R44" s="147">
        <f>$AF44*'Crono Fisico'!R44</f>
        <v>65</v>
      </c>
      <c r="S44" s="147">
        <f>$AF44*'Crono Fisico'!S44</f>
        <v>60</v>
      </c>
      <c r="T44" s="147">
        <f>$AF44*'Crono Fisico'!T44</f>
        <v>60</v>
      </c>
      <c r="U44" s="147">
        <f>$AF44*'Crono Fisico'!U44</f>
        <v>65</v>
      </c>
      <c r="V44" s="147">
        <f>$AF44*'Crono Fisico'!V44</f>
        <v>65</v>
      </c>
      <c r="W44" s="123"/>
      <c r="X44" s="123"/>
      <c r="Y44" s="125"/>
      <c r="Z44" s="123"/>
      <c r="AA44" s="123"/>
      <c r="AB44" s="140"/>
      <c r="AC44" s="125"/>
      <c r="AD44" s="123"/>
      <c r="AE44" s="123"/>
      <c r="AF44" s="166">
        <v>500</v>
      </c>
      <c r="AG44" s="150">
        <f t="shared" si="2"/>
        <v>500</v>
      </c>
      <c r="AH44" s="391">
        <f t="shared" si="3"/>
        <v>0</v>
      </c>
      <c r="AI44" s="128"/>
      <c r="AJ44" s="128"/>
      <c r="AK44" s="128"/>
      <c r="AL44" s="128"/>
      <c r="AM44" s="128"/>
      <c r="AN44" s="128"/>
      <c r="AO44" s="128"/>
    </row>
    <row r="45" spans="1:41" s="122" customFormat="1" ht="15" customHeight="1">
      <c r="A45" s="231"/>
      <c r="B45" s="232"/>
      <c r="C45" s="232"/>
      <c r="D45" s="209" t="s">
        <v>110</v>
      </c>
      <c r="E45" s="349"/>
      <c r="F45" s="349"/>
      <c r="G45" s="296"/>
      <c r="H45" s="123"/>
      <c r="I45" s="125"/>
      <c r="J45" s="123"/>
      <c r="K45" s="123"/>
      <c r="L45" s="121">
        <f>$AF45*'Crono Fisico'!L45</f>
        <v>130</v>
      </c>
      <c r="M45" s="121">
        <f>$AF45*'Crono Fisico'!M45</f>
        <v>130</v>
      </c>
      <c r="N45" s="121">
        <f>$AF45*'Crono Fisico'!N45</f>
        <v>130</v>
      </c>
      <c r="O45" s="121">
        <f>$AF45*'Crono Fisico'!O45</f>
        <v>130</v>
      </c>
      <c r="P45" s="147">
        <f>$AF45*'Crono Fisico'!P45</f>
        <v>30</v>
      </c>
      <c r="Q45" s="147">
        <f>$AF45*'Crono Fisico'!Q45</f>
        <v>30</v>
      </c>
      <c r="R45" s="147">
        <f>$AF45*'Crono Fisico'!R45</f>
        <v>30</v>
      </c>
      <c r="S45" s="147">
        <f>$AF45*'Crono Fisico'!S45</f>
        <v>30</v>
      </c>
      <c r="T45" s="147">
        <f>$AF45*'Crono Fisico'!T45</f>
        <v>30</v>
      </c>
      <c r="U45" s="147">
        <f>$AF45*'Crono Fisico'!U45</f>
        <v>30</v>
      </c>
      <c r="V45" s="147">
        <f>$AF45*'Crono Fisico'!V45</f>
        <v>30</v>
      </c>
      <c r="W45" s="147">
        <f>$AF45*'Crono Fisico'!W45</f>
        <v>30</v>
      </c>
      <c r="X45" s="147">
        <f>$AF45*'Crono Fisico'!X45</f>
        <v>30</v>
      </c>
      <c r="Y45" s="147">
        <f>$AF45*'Crono Fisico'!Y45</f>
        <v>30</v>
      </c>
      <c r="Z45" s="147">
        <f>$AF45*'Crono Fisico'!Z45</f>
        <v>30</v>
      </c>
      <c r="AA45" s="147">
        <f>$AF45*'Crono Fisico'!AA45</f>
        <v>30</v>
      </c>
      <c r="AB45" s="147">
        <f>$AF45*'Crono Fisico'!AB45</f>
        <v>30</v>
      </c>
      <c r="AC45" s="147">
        <f>$AF45*'Crono Fisico'!AC45</f>
        <v>30</v>
      </c>
      <c r="AD45" s="147">
        <f>$AF45*'Crono Fisico'!AD45</f>
        <v>30</v>
      </c>
      <c r="AE45" s="147">
        <f>$AF45*'Crono Fisico'!AE45</f>
        <v>30</v>
      </c>
      <c r="AF45" s="166">
        <v>1000</v>
      </c>
      <c r="AG45" s="150">
        <f t="shared" si="2"/>
        <v>1000</v>
      </c>
      <c r="AH45" s="391">
        <f t="shared" si="3"/>
        <v>0</v>
      </c>
      <c r="AI45" s="128"/>
      <c r="AJ45" s="128"/>
      <c r="AK45" s="128"/>
      <c r="AL45" s="128"/>
      <c r="AM45" s="128"/>
      <c r="AN45" s="128"/>
      <c r="AO45" s="128"/>
    </row>
    <row r="46" spans="1:41" s="122" customFormat="1" ht="30">
      <c r="A46" s="186"/>
      <c r="B46" s="226"/>
      <c r="C46" s="226"/>
      <c r="D46" s="233" t="s">
        <v>101</v>
      </c>
      <c r="E46" s="350"/>
      <c r="F46" s="350"/>
      <c r="G46" s="298"/>
      <c r="H46" s="123"/>
      <c r="I46" s="125"/>
      <c r="J46" s="147">
        <f>$AF46*'Crono Fisico'!J46</f>
        <v>67</v>
      </c>
      <c r="K46" s="147">
        <f>$AF46*'Crono Fisico'!K46</f>
        <v>67</v>
      </c>
      <c r="L46" s="121">
        <f>$AF46*'Crono Fisico'!L46</f>
        <v>67</v>
      </c>
      <c r="M46" s="121">
        <f>$AF46*'Crono Fisico'!M46</f>
        <v>67</v>
      </c>
      <c r="N46" s="121">
        <f>$AF46*'Crono Fisico'!N46</f>
        <v>134</v>
      </c>
      <c r="O46" s="121">
        <f>$AF46*'Crono Fisico'!O46</f>
        <v>67</v>
      </c>
      <c r="P46" s="147">
        <f>$AF46*'Crono Fisico'!P46</f>
        <v>53.6</v>
      </c>
      <c r="Q46" s="147">
        <f>$AF46*'Crono Fisico'!Q46</f>
        <v>53.6</v>
      </c>
      <c r="R46" s="147">
        <f>$AF46*'Crono Fisico'!R46</f>
        <v>53.6</v>
      </c>
      <c r="S46" s="147">
        <f>$AF46*'Crono Fisico'!S46</f>
        <v>53.6</v>
      </c>
      <c r="T46" s="147">
        <f>$AF46*'Crono Fisico'!T46</f>
        <v>53.6</v>
      </c>
      <c r="U46" s="147">
        <f>$AF46*'Crono Fisico'!U46</f>
        <v>53.6</v>
      </c>
      <c r="V46" s="147">
        <f>$AF46*'Crono Fisico'!V46</f>
        <v>53.6</v>
      </c>
      <c r="W46" s="147">
        <f>$AF46*'Crono Fisico'!W46</f>
        <v>67</v>
      </c>
      <c r="X46" s="147">
        <f>$AF46*'Crono Fisico'!X46</f>
        <v>53.6</v>
      </c>
      <c r="Y46" s="147">
        <f>$AF46*'Crono Fisico'!Y46</f>
        <v>53.6</v>
      </c>
      <c r="Z46" s="147">
        <f>$AF46*'Crono Fisico'!Z46</f>
        <v>53.6</v>
      </c>
      <c r="AA46" s="147">
        <f>$AF46*'Crono Fisico'!AA46</f>
        <v>53.6</v>
      </c>
      <c r="AB46" s="147">
        <f>$AF46*'Crono Fisico'!AB46</f>
        <v>53.6</v>
      </c>
      <c r="AC46" s="147">
        <f>$AF46*'Crono Fisico'!AC46</f>
        <v>53.6</v>
      </c>
      <c r="AD46" s="147">
        <f>$AF46*'Crono Fisico'!AD46</f>
        <v>53.6</v>
      </c>
      <c r="AE46" s="147">
        <f>$AF46*'Crono Fisico'!AE46</f>
        <v>53.6</v>
      </c>
      <c r="AF46" s="166">
        <v>1340</v>
      </c>
      <c r="AG46" s="150">
        <f t="shared" si="2"/>
        <v>1339.9999999999998</v>
      </c>
      <c r="AH46" s="391">
        <f t="shared" si="3"/>
        <v>0</v>
      </c>
      <c r="AI46" s="128"/>
      <c r="AJ46" s="128"/>
      <c r="AK46" s="128"/>
      <c r="AL46" s="128"/>
      <c r="AM46" s="128"/>
      <c r="AN46" s="128"/>
      <c r="AO46" s="128"/>
    </row>
    <row r="47" spans="1:41" s="122" customFormat="1" ht="15" customHeight="1" thickBot="1">
      <c r="A47" s="186"/>
      <c r="B47" s="226"/>
      <c r="C47" s="226"/>
      <c r="D47" s="238" t="s">
        <v>102</v>
      </c>
      <c r="E47" s="351"/>
      <c r="F47" s="351"/>
      <c r="G47" s="300"/>
      <c r="H47" s="123"/>
      <c r="I47" s="125"/>
      <c r="J47" s="123"/>
      <c r="K47" s="123"/>
      <c r="L47" s="123"/>
      <c r="M47" s="125"/>
      <c r="O47" s="121">
        <f>$AF47*'Crono Fisico'!O47</f>
        <v>150</v>
      </c>
      <c r="P47" s="147">
        <f>$AF47*'Crono Fisico'!P47</f>
        <v>100</v>
      </c>
      <c r="Q47" s="147">
        <f>$AF47*'Crono Fisico'!Q47</f>
        <v>100</v>
      </c>
      <c r="R47" s="147">
        <f>$AF47*'Crono Fisico'!R47</f>
        <v>150</v>
      </c>
      <c r="S47" s="123"/>
      <c r="T47" s="123"/>
      <c r="U47" s="125"/>
      <c r="V47" s="123"/>
      <c r="W47" s="123"/>
      <c r="X47" s="123"/>
      <c r="Y47" s="125"/>
      <c r="Z47" s="123"/>
      <c r="AA47" s="123"/>
      <c r="AB47" s="140"/>
      <c r="AC47" s="125"/>
      <c r="AD47" s="123"/>
      <c r="AE47" s="123"/>
      <c r="AF47" s="166">
        <v>500</v>
      </c>
      <c r="AG47" s="150">
        <f t="shared" si="2"/>
        <v>500</v>
      </c>
      <c r="AH47" s="391">
        <f t="shared" si="3"/>
        <v>0</v>
      </c>
      <c r="AI47" s="128"/>
      <c r="AJ47" s="128"/>
      <c r="AK47" s="128"/>
      <c r="AL47" s="128"/>
      <c r="AM47" s="128"/>
      <c r="AN47" s="128"/>
      <c r="AO47" s="128"/>
    </row>
    <row r="48" spans="1:41" s="122" customFormat="1" ht="15" customHeight="1">
      <c r="A48" s="186"/>
      <c r="B48" s="226"/>
      <c r="C48" s="226"/>
      <c r="D48" s="209" t="s">
        <v>103</v>
      </c>
      <c r="E48" s="352"/>
      <c r="F48" s="352"/>
      <c r="G48" s="302"/>
      <c r="H48" s="123"/>
      <c r="I48" s="125"/>
      <c r="J48" s="123"/>
      <c r="K48" s="123"/>
      <c r="L48" s="121">
        <f>$AF48*'Crono Fisico'!L48</f>
        <v>52.5</v>
      </c>
      <c r="M48" s="121">
        <f>$AF48*'Crono Fisico'!M48</f>
        <v>70</v>
      </c>
      <c r="N48" s="121">
        <f>$AF48*'Crono Fisico'!N48</f>
        <v>105</v>
      </c>
      <c r="O48" s="121">
        <f>$AF48*'Crono Fisico'!O48</f>
        <v>24.500000000000004</v>
      </c>
      <c r="P48" s="147">
        <f>$AF48*'Crono Fisico'!P48</f>
        <v>24.500000000000004</v>
      </c>
      <c r="Q48" s="147">
        <f>$AF48*'Crono Fisico'!Q48</f>
        <v>24.500000000000004</v>
      </c>
      <c r="R48" s="147">
        <f>$AF48*'Crono Fisico'!R48</f>
        <v>24.500000000000004</v>
      </c>
      <c r="S48" s="147">
        <f>$AF48*'Crono Fisico'!S48</f>
        <v>24.500000000000004</v>
      </c>
      <c r="T48" s="323"/>
      <c r="U48" s="323"/>
      <c r="V48" s="323"/>
      <c r="W48" s="323"/>
      <c r="Y48" s="125"/>
      <c r="Z48" s="123"/>
      <c r="AA48" s="123"/>
      <c r="AB48" s="140"/>
      <c r="AC48" s="125"/>
      <c r="AD48" s="123"/>
      <c r="AE48" s="123"/>
      <c r="AF48" s="166">
        <v>350</v>
      </c>
      <c r="AG48" s="150">
        <f t="shared" si="2"/>
        <v>350</v>
      </c>
      <c r="AH48" s="391">
        <f t="shared" si="3"/>
        <v>0</v>
      </c>
      <c r="AI48" s="128"/>
      <c r="AJ48" s="128"/>
      <c r="AK48" s="128"/>
      <c r="AL48" s="128"/>
      <c r="AM48" s="128"/>
      <c r="AN48" s="128"/>
      <c r="AO48" s="128"/>
    </row>
    <row r="49" spans="1:220" s="122" customFormat="1" ht="16.5" customHeight="1" thickBot="1">
      <c r="A49" s="186"/>
      <c r="B49" s="226"/>
      <c r="C49" s="226"/>
      <c r="D49" s="238" t="s">
        <v>104</v>
      </c>
      <c r="E49" s="352"/>
      <c r="F49" s="352"/>
      <c r="G49" s="302"/>
      <c r="H49" s="123"/>
      <c r="I49" s="125"/>
      <c r="J49" s="123"/>
      <c r="K49" s="123"/>
      <c r="L49" s="121">
        <f>$AF49*'Crono Fisico'!L49</f>
        <v>95</v>
      </c>
      <c r="M49" s="121">
        <f>$AF49*'Crono Fisico'!M49</f>
        <v>380</v>
      </c>
      <c r="N49" s="121">
        <f>$AF49*'Crono Fisico'!N49</f>
        <v>190</v>
      </c>
      <c r="O49" s="121">
        <f>$AF49*'Crono Fisico'!O49</f>
        <v>57</v>
      </c>
      <c r="P49" s="147">
        <f>$AF49*'Crono Fisico'!P49</f>
        <v>57</v>
      </c>
      <c r="Q49" s="147">
        <f>$AF49*'Crono Fisico'!Q49</f>
        <v>57</v>
      </c>
      <c r="R49" s="147">
        <f>$AF49*'Crono Fisico'!R49</f>
        <v>57</v>
      </c>
      <c r="S49" s="147">
        <f>$AF49*'Crono Fisico'!S49</f>
        <v>57</v>
      </c>
      <c r="T49" s="123"/>
      <c r="U49" s="125"/>
      <c r="V49" s="123"/>
      <c r="W49" s="123"/>
      <c r="X49" s="123"/>
      <c r="Y49" s="125"/>
      <c r="Z49" s="123"/>
      <c r="AA49" s="123"/>
      <c r="AB49" s="140"/>
      <c r="AC49" s="125"/>
      <c r="AD49" s="123"/>
      <c r="AE49" s="123"/>
      <c r="AF49" s="166">
        <v>950</v>
      </c>
      <c r="AG49" s="150">
        <f t="shared" si="2"/>
        <v>950</v>
      </c>
      <c r="AH49" s="391">
        <f t="shared" si="3"/>
        <v>0</v>
      </c>
      <c r="AI49" s="128"/>
      <c r="AJ49" s="128"/>
      <c r="AK49" s="128"/>
      <c r="AL49" s="128"/>
      <c r="AM49" s="128"/>
      <c r="AN49" s="128"/>
      <c r="AO49" s="128"/>
    </row>
    <row r="50" spans="1:220" s="119" customFormat="1" ht="15" customHeight="1">
      <c r="A50" s="362" t="s">
        <v>20</v>
      </c>
      <c r="B50" s="831" t="s">
        <v>173</v>
      </c>
      <c r="C50" s="832"/>
      <c r="D50" s="833"/>
      <c r="E50" s="363" t="s">
        <v>41</v>
      </c>
      <c r="F50" s="363" t="s">
        <v>41</v>
      </c>
      <c r="G50" s="364" t="s">
        <v>41</v>
      </c>
      <c r="H50" s="365">
        <f>SUM(H51:H52)</f>
        <v>0</v>
      </c>
      <c r="I50" s="365">
        <f t="shared" ref="I50:AE50" si="8">SUM(I51:I52)</f>
        <v>0</v>
      </c>
      <c r="J50" s="365">
        <f t="shared" si="8"/>
        <v>0</v>
      </c>
      <c r="K50" s="365">
        <f t="shared" si="8"/>
        <v>64</v>
      </c>
      <c r="L50" s="365">
        <f t="shared" si="8"/>
        <v>30</v>
      </c>
      <c r="M50" s="365">
        <f t="shared" si="8"/>
        <v>0</v>
      </c>
      <c r="N50" s="365">
        <f t="shared" si="8"/>
        <v>90</v>
      </c>
      <c r="O50" s="365">
        <f t="shared" si="8"/>
        <v>64</v>
      </c>
      <c r="P50" s="365">
        <f t="shared" si="8"/>
        <v>30</v>
      </c>
      <c r="Q50" s="365">
        <f t="shared" si="8"/>
        <v>0</v>
      </c>
      <c r="R50" s="365">
        <f t="shared" si="8"/>
        <v>90</v>
      </c>
      <c r="S50" s="365">
        <f t="shared" si="8"/>
        <v>64</v>
      </c>
      <c r="T50" s="365">
        <f t="shared" si="8"/>
        <v>30</v>
      </c>
      <c r="U50" s="365">
        <f t="shared" si="8"/>
        <v>0</v>
      </c>
      <c r="V50" s="365">
        <f t="shared" si="8"/>
        <v>90</v>
      </c>
      <c r="W50" s="365">
        <f t="shared" si="8"/>
        <v>64</v>
      </c>
      <c r="X50" s="365">
        <f t="shared" si="8"/>
        <v>30</v>
      </c>
      <c r="Y50" s="365">
        <f t="shared" si="8"/>
        <v>0</v>
      </c>
      <c r="Z50" s="365">
        <f t="shared" si="8"/>
        <v>90</v>
      </c>
      <c r="AA50" s="365">
        <f t="shared" si="8"/>
        <v>64</v>
      </c>
      <c r="AB50" s="365">
        <f t="shared" si="8"/>
        <v>30</v>
      </c>
      <c r="AC50" s="365">
        <f t="shared" si="8"/>
        <v>0</v>
      </c>
      <c r="AD50" s="365">
        <f t="shared" si="8"/>
        <v>90</v>
      </c>
      <c r="AE50" s="365">
        <f t="shared" si="8"/>
        <v>80</v>
      </c>
      <c r="AF50" s="392">
        <f>AF52+AF51</f>
        <v>1000</v>
      </c>
      <c r="AG50" s="393">
        <f t="shared" si="2"/>
        <v>1000</v>
      </c>
      <c r="AH50" s="394">
        <f t="shared" si="3"/>
        <v>0</v>
      </c>
      <c r="AI50" s="128"/>
      <c r="AJ50" s="128"/>
      <c r="AK50" s="128"/>
      <c r="AL50" s="128"/>
      <c r="AM50" s="128"/>
      <c r="AN50" s="128"/>
      <c r="AO50" s="128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/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22"/>
      <c r="EY50" s="122"/>
      <c r="EZ50" s="122"/>
      <c r="FA50" s="122"/>
      <c r="FB50" s="122"/>
      <c r="FC50" s="122"/>
      <c r="FD50" s="122"/>
      <c r="FE50" s="122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2"/>
      <c r="FU50" s="122"/>
      <c r="FV50" s="122"/>
      <c r="FW50" s="122"/>
      <c r="FX50" s="122"/>
      <c r="FY50" s="122"/>
      <c r="FZ50" s="122"/>
      <c r="GA50" s="122"/>
      <c r="GB50" s="122"/>
      <c r="GC50" s="122"/>
      <c r="GD50" s="122"/>
      <c r="GE50" s="122"/>
      <c r="GF50" s="122"/>
      <c r="GG50" s="122"/>
      <c r="GH50" s="122"/>
      <c r="GI50" s="122"/>
      <c r="GJ50" s="122"/>
      <c r="GK50" s="122"/>
      <c r="GL50" s="122"/>
      <c r="GM50" s="122"/>
      <c r="GN50" s="122"/>
      <c r="GO50" s="122"/>
      <c r="GP50" s="122"/>
      <c r="GQ50" s="122"/>
      <c r="GR50" s="122"/>
      <c r="GS50" s="122"/>
      <c r="GT50" s="122"/>
      <c r="GU50" s="122"/>
      <c r="GV50" s="122"/>
      <c r="GW50" s="122"/>
      <c r="GX50" s="122"/>
      <c r="GY50" s="122"/>
      <c r="GZ50" s="122"/>
      <c r="HA50" s="122"/>
      <c r="HB50" s="122"/>
      <c r="HC50" s="122"/>
      <c r="HD50" s="122"/>
      <c r="HE50" s="122"/>
      <c r="HF50" s="122"/>
      <c r="HG50" s="122"/>
      <c r="HH50" s="122"/>
      <c r="HI50" s="122"/>
      <c r="HJ50" s="122"/>
      <c r="HK50" s="122"/>
      <c r="HL50" s="122"/>
    </row>
    <row r="51" spans="1:220" s="122" customFormat="1" ht="15" customHeight="1">
      <c r="A51" s="186"/>
      <c r="B51" s="187"/>
      <c r="C51" s="187"/>
      <c r="D51" s="209" t="s">
        <v>50</v>
      </c>
      <c r="E51" s="337" t="s">
        <v>51</v>
      </c>
      <c r="F51" s="338">
        <v>3</v>
      </c>
      <c r="G51" s="274">
        <v>80000</v>
      </c>
      <c r="H51" s="123"/>
      <c r="I51" s="125"/>
      <c r="J51" s="123"/>
      <c r="K51" s="123"/>
      <c r="L51" s="121">
        <f>$AF51*'Crono Fisico'!L51</f>
        <v>30</v>
      </c>
      <c r="M51" s="125"/>
      <c r="N51" s="121">
        <f>$AF51*'Crono Fisico'!N51</f>
        <v>90</v>
      </c>
      <c r="O51" s="123"/>
      <c r="P51" s="147">
        <f>$AF51*'Crono Fisico'!P51</f>
        <v>30</v>
      </c>
      <c r="Q51" s="125"/>
      <c r="R51" s="147">
        <f>$AF51*'Crono Fisico'!R51</f>
        <v>90</v>
      </c>
      <c r="S51" s="123"/>
      <c r="T51" s="147">
        <f>$AF51*'Crono Fisico'!T51</f>
        <v>30</v>
      </c>
      <c r="U51" s="125"/>
      <c r="V51" s="147">
        <f>$AF51*'Crono Fisico'!V51</f>
        <v>90</v>
      </c>
      <c r="W51" s="123"/>
      <c r="X51" s="147">
        <f>$AF51*'Crono Fisico'!X51</f>
        <v>30</v>
      </c>
      <c r="Y51" s="125"/>
      <c r="Z51" s="147">
        <f>$AF51*'Crono Fisico'!Z51</f>
        <v>90</v>
      </c>
      <c r="AA51" s="123"/>
      <c r="AB51" s="147">
        <f>$AF51*'Crono Fisico'!AB51</f>
        <v>30</v>
      </c>
      <c r="AC51" s="125"/>
      <c r="AD51" s="147">
        <f>$AF51*'Crono Fisico'!AD51</f>
        <v>90</v>
      </c>
      <c r="AE51" s="123"/>
      <c r="AF51" s="166">
        <v>600</v>
      </c>
      <c r="AG51" s="150">
        <f t="shared" si="2"/>
        <v>600</v>
      </c>
      <c r="AH51" s="391">
        <f t="shared" si="3"/>
        <v>0</v>
      </c>
      <c r="AI51" s="128"/>
      <c r="AJ51" s="128"/>
      <c r="AK51" s="128"/>
      <c r="AL51" s="128"/>
      <c r="AM51" s="128"/>
      <c r="AN51" s="128"/>
      <c r="AO51" s="128"/>
    </row>
    <row r="52" spans="1:220" s="122" customFormat="1" ht="15" customHeight="1" thickBot="1">
      <c r="A52" s="186"/>
      <c r="B52" s="187"/>
      <c r="C52" s="187"/>
      <c r="D52" s="209" t="s">
        <v>52</v>
      </c>
      <c r="E52" s="337"/>
      <c r="F52" s="338"/>
      <c r="G52" s="274"/>
      <c r="H52" s="129"/>
      <c r="I52" s="138"/>
      <c r="J52" s="129"/>
      <c r="K52" s="147">
        <f>$AF52*'Crono Fisico'!K52</f>
        <v>64</v>
      </c>
      <c r="L52" s="129"/>
      <c r="M52" s="138"/>
      <c r="N52" s="129"/>
      <c r="O52" s="121">
        <f>$AF52*'Crono Fisico'!O52</f>
        <v>64</v>
      </c>
      <c r="P52" s="129"/>
      <c r="Q52" s="138"/>
      <c r="R52" s="129"/>
      <c r="S52" s="147">
        <f>$AF52*'Crono Fisico'!S52</f>
        <v>64</v>
      </c>
      <c r="T52" s="129"/>
      <c r="U52" s="138"/>
      <c r="V52" s="129"/>
      <c r="W52" s="147">
        <f>$AF52*'Crono Fisico'!W52</f>
        <v>64</v>
      </c>
      <c r="X52" s="129"/>
      <c r="Y52" s="138"/>
      <c r="Z52" s="129"/>
      <c r="AA52" s="147">
        <f>$AF52*'Crono Fisico'!AA52</f>
        <v>64</v>
      </c>
      <c r="AB52" s="142"/>
      <c r="AC52" s="138"/>
      <c r="AD52" s="129"/>
      <c r="AE52" s="147">
        <f>$AF52*'Crono Fisico'!AE52</f>
        <v>80</v>
      </c>
      <c r="AF52" s="166">
        <v>400</v>
      </c>
      <c r="AG52" s="150">
        <f t="shared" si="2"/>
        <v>400</v>
      </c>
      <c r="AH52" s="391">
        <f t="shared" si="3"/>
        <v>0</v>
      </c>
      <c r="AI52" s="128"/>
      <c r="AJ52" s="128"/>
      <c r="AK52" s="128"/>
      <c r="AL52" s="128"/>
      <c r="AM52" s="128"/>
      <c r="AN52" s="128"/>
      <c r="AO52" s="128"/>
    </row>
    <row r="53" spans="1:220" s="119" customFormat="1" ht="15" customHeight="1">
      <c r="A53" s="331" t="s">
        <v>24</v>
      </c>
      <c r="B53" s="803" t="s">
        <v>171</v>
      </c>
      <c r="C53" s="804"/>
      <c r="D53" s="805"/>
      <c r="E53" s="332" t="s">
        <v>41</v>
      </c>
      <c r="F53" s="332" t="s">
        <v>41</v>
      </c>
      <c r="G53" s="353" t="s">
        <v>41</v>
      </c>
      <c r="H53" s="368">
        <f>H54</f>
        <v>0</v>
      </c>
      <c r="I53" s="368">
        <f t="shared" ref="I53:AE53" si="9">I54</f>
        <v>0</v>
      </c>
      <c r="J53" s="368">
        <f t="shared" si="9"/>
        <v>600</v>
      </c>
      <c r="K53" s="368">
        <f t="shared" si="9"/>
        <v>600</v>
      </c>
      <c r="L53" s="368">
        <f t="shared" si="9"/>
        <v>600</v>
      </c>
      <c r="M53" s="368">
        <f t="shared" si="9"/>
        <v>600</v>
      </c>
      <c r="N53" s="368">
        <f t="shared" si="9"/>
        <v>600</v>
      </c>
      <c r="O53" s="368">
        <f t="shared" si="9"/>
        <v>600</v>
      </c>
      <c r="P53" s="368">
        <f t="shared" si="9"/>
        <v>600</v>
      </c>
      <c r="Q53" s="368">
        <f t="shared" si="9"/>
        <v>600</v>
      </c>
      <c r="R53" s="368">
        <f t="shared" si="9"/>
        <v>600</v>
      </c>
      <c r="S53" s="368">
        <f t="shared" si="9"/>
        <v>600</v>
      </c>
      <c r="T53" s="368">
        <f t="shared" si="9"/>
        <v>750</v>
      </c>
      <c r="U53" s="368">
        <f t="shared" si="9"/>
        <v>750</v>
      </c>
      <c r="V53" s="368">
        <f t="shared" si="9"/>
        <v>750</v>
      </c>
      <c r="W53" s="368">
        <f t="shared" si="9"/>
        <v>750</v>
      </c>
      <c r="X53" s="368">
        <f t="shared" si="9"/>
        <v>750</v>
      </c>
      <c r="Y53" s="368">
        <f t="shared" si="9"/>
        <v>750</v>
      </c>
      <c r="Z53" s="368">
        <f t="shared" si="9"/>
        <v>750</v>
      </c>
      <c r="AA53" s="368">
        <f t="shared" si="9"/>
        <v>750</v>
      </c>
      <c r="AB53" s="368">
        <f t="shared" si="9"/>
        <v>750</v>
      </c>
      <c r="AC53" s="368">
        <f t="shared" si="9"/>
        <v>750</v>
      </c>
      <c r="AD53" s="368">
        <f t="shared" si="9"/>
        <v>750</v>
      </c>
      <c r="AE53" s="368">
        <f t="shared" si="9"/>
        <v>750</v>
      </c>
      <c r="AF53" s="392">
        <f>AF54</f>
        <v>15000</v>
      </c>
      <c r="AG53" s="393">
        <f t="shared" si="2"/>
        <v>15000</v>
      </c>
      <c r="AH53" s="394">
        <f t="shared" si="3"/>
        <v>0</v>
      </c>
      <c r="AI53" s="128"/>
      <c r="AJ53" s="128"/>
      <c r="AK53" s="128"/>
      <c r="AL53" s="128"/>
      <c r="AM53" s="128"/>
      <c r="AN53" s="128"/>
      <c r="AO53" s="128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22"/>
      <c r="EY53" s="122"/>
      <c r="EZ53" s="122"/>
      <c r="FA53" s="122"/>
      <c r="FB53" s="122"/>
      <c r="FC53" s="122"/>
      <c r="FD53" s="122"/>
      <c r="FE53" s="122"/>
      <c r="FF53" s="122"/>
      <c r="FG53" s="122"/>
      <c r="FH53" s="122"/>
      <c r="FI53" s="122"/>
      <c r="FJ53" s="122"/>
      <c r="FK53" s="122"/>
      <c r="FL53" s="122"/>
      <c r="FM53" s="122"/>
      <c r="FN53" s="122"/>
      <c r="FO53" s="122"/>
      <c r="FP53" s="122"/>
      <c r="FQ53" s="122"/>
      <c r="FR53" s="122"/>
      <c r="FS53" s="122"/>
      <c r="FT53" s="122"/>
      <c r="FU53" s="122"/>
      <c r="FV53" s="122"/>
      <c r="FW53" s="122"/>
      <c r="FX53" s="122"/>
      <c r="FY53" s="122"/>
      <c r="FZ53" s="122"/>
      <c r="GA53" s="122"/>
      <c r="GB53" s="122"/>
      <c r="GC53" s="122"/>
      <c r="GD53" s="122"/>
      <c r="GE53" s="122"/>
      <c r="GF53" s="122"/>
      <c r="GG53" s="122"/>
      <c r="GH53" s="122"/>
      <c r="GI53" s="122"/>
      <c r="GJ53" s="122"/>
      <c r="GK53" s="122"/>
      <c r="GL53" s="122"/>
      <c r="GM53" s="122"/>
      <c r="GN53" s="122"/>
      <c r="GO53" s="122"/>
      <c r="GP53" s="122"/>
      <c r="GQ53" s="122"/>
      <c r="GR53" s="122"/>
      <c r="GS53" s="122"/>
      <c r="GT53" s="122"/>
      <c r="GU53" s="122"/>
      <c r="GV53" s="122"/>
      <c r="GW53" s="122"/>
      <c r="GX53" s="122"/>
      <c r="GY53" s="122"/>
      <c r="GZ53" s="122"/>
      <c r="HA53" s="122"/>
      <c r="HB53" s="122"/>
      <c r="HC53" s="122"/>
      <c r="HD53" s="122"/>
      <c r="HE53" s="122"/>
      <c r="HF53" s="122"/>
      <c r="HG53" s="122"/>
      <c r="HH53" s="122"/>
      <c r="HI53" s="122"/>
      <c r="HJ53" s="122"/>
      <c r="HK53" s="122"/>
      <c r="HL53" s="122"/>
    </row>
    <row r="54" spans="1:220" s="122" customFormat="1" ht="15" customHeight="1" thickBot="1">
      <c r="A54" s="186"/>
      <c r="B54" s="187"/>
      <c r="C54" s="187"/>
      <c r="D54" s="209" t="s">
        <v>53</v>
      </c>
      <c r="E54" s="337"/>
      <c r="F54" s="338"/>
      <c r="G54" s="274"/>
      <c r="H54" s="123"/>
      <c r="I54" s="123"/>
      <c r="J54" s="147">
        <f>$AF54*'Crono Fisico'!J54</f>
        <v>600</v>
      </c>
      <c r="K54" s="147">
        <f>$AF54*'Crono Fisico'!K54</f>
        <v>600</v>
      </c>
      <c r="L54" s="121">
        <f>$AF54*'Crono Fisico'!L54</f>
        <v>600</v>
      </c>
      <c r="M54" s="121">
        <f>$AF54*'Crono Fisico'!M54</f>
        <v>600</v>
      </c>
      <c r="N54" s="121">
        <f>$AF54*'Crono Fisico'!N54</f>
        <v>600</v>
      </c>
      <c r="O54" s="121">
        <f>$AF54*'Crono Fisico'!O54</f>
        <v>600</v>
      </c>
      <c r="P54" s="147">
        <f>$AF54*'Crono Fisico'!P54</f>
        <v>600</v>
      </c>
      <c r="Q54" s="147">
        <f>$AF54*'Crono Fisico'!Q54</f>
        <v>600</v>
      </c>
      <c r="R54" s="147">
        <f>$AF54*'Crono Fisico'!R54</f>
        <v>600</v>
      </c>
      <c r="S54" s="147">
        <f>$AF54*'Crono Fisico'!S54</f>
        <v>600</v>
      </c>
      <c r="T54" s="147">
        <f>$AF54*'Crono Fisico'!T54</f>
        <v>750</v>
      </c>
      <c r="U54" s="147">
        <f>$AF54*'Crono Fisico'!U54</f>
        <v>750</v>
      </c>
      <c r="V54" s="147">
        <f>$AF54*'Crono Fisico'!V54</f>
        <v>750</v>
      </c>
      <c r="W54" s="147">
        <f>$AF54*'Crono Fisico'!W54</f>
        <v>750</v>
      </c>
      <c r="X54" s="147">
        <f>$AF54*'Crono Fisico'!X54</f>
        <v>750</v>
      </c>
      <c r="Y54" s="147">
        <f>$AF54*'Crono Fisico'!Y54</f>
        <v>750</v>
      </c>
      <c r="Z54" s="147">
        <f>$AF54*'Crono Fisico'!Z54</f>
        <v>750</v>
      </c>
      <c r="AA54" s="147">
        <f>$AF54*'Crono Fisico'!AA54</f>
        <v>750</v>
      </c>
      <c r="AB54" s="147">
        <f>$AF54*'Crono Fisico'!AB54</f>
        <v>750</v>
      </c>
      <c r="AC54" s="147">
        <f>$AF54*'Crono Fisico'!AC54</f>
        <v>750</v>
      </c>
      <c r="AD54" s="147">
        <f>$AF54*'Crono Fisico'!AD54</f>
        <v>750</v>
      </c>
      <c r="AE54" s="147">
        <f>$AF54*'Crono Fisico'!AE54</f>
        <v>750</v>
      </c>
      <c r="AF54" s="166">
        <v>15000</v>
      </c>
      <c r="AG54" s="150">
        <f t="shared" si="2"/>
        <v>15000</v>
      </c>
      <c r="AH54" s="391">
        <f t="shared" si="3"/>
        <v>0</v>
      </c>
      <c r="AI54" s="128"/>
      <c r="AJ54" s="128"/>
      <c r="AK54" s="128"/>
      <c r="AL54" s="128"/>
      <c r="AM54" s="128"/>
      <c r="AN54" s="128"/>
      <c r="AO54" s="128"/>
    </row>
    <row r="55" spans="1:220" s="122" customFormat="1" ht="21" customHeight="1" thickBot="1">
      <c r="A55" s="834" t="s">
        <v>54</v>
      </c>
      <c r="B55" s="835"/>
      <c r="C55" s="835"/>
      <c r="D55" s="836"/>
      <c r="E55" s="360" t="s">
        <v>41</v>
      </c>
      <c r="F55" s="360" t="s">
        <v>41</v>
      </c>
      <c r="G55" s="361" t="s">
        <v>41</v>
      </c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169">
        <f>AF53+AF50+AF12+AF6</f>
        <v>330000</v>
      </c>
      <c r="AG55" s="150">
        <f t="shared" si="2"/>
        <v>0</v>
      </c>
      <c r="AH55" s="391">
        <f t="shared" si="3"/>
        <v>330000</v>
      </c>
      <c r="AI55" s="128"/>
      <c r="AJ55" s="128"/>
      <c r="AK55" s="128"/>
      <c r="AL55" s="128"/>
      <c r="AM55" s="128"/>
      <c r="AN55" s="128"/>
      <c r="AO55" s="128"/>
    </row>
    <row r="56" spans="1:220" ht="6.75" customHeight="1">
      <c r="A56" s="130"/>
      <c r="B56" s="130"/>
      <c r="C56" s="130"/>
      <c r="E56" s="354"/>
      <c r="F56" s="354"/>
      <c r="G56" s="130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</row>
    <row r="57" spans="1:220" ht="18.75" customHeight="1">
      <c r="A57" s="130"/>
      <c r="B57" s="130"/>
      <c r="C57" s="130"/>
      <c r="E57" s="354"/>
      <c r="F57" s="354"/>
      <c r="G57" s="130"/>
      <c r="H57" s="825" t="s">
        <v>126</v>
      </c>
      <c r="I57" s="825"/>
      <c r="J57" s="825"/>
      <c r="K57" s="825"/>
      <c r="L57" s="822" t="s">
        <v>127</v>
      </c>
      <c r="M57" s="822"/>
      <c r="N57" s="822"/>
      <c r="O57" s="822"/>
      <c r="P57" s="825" t="s">
        <v>128</v>
      </c>
      <c r="Q57" s="825"/>
      <c r="R57" s="825"/>
      <c r="S57" s="825"/>
      <c r="T57" s="822" t="s">
        <v>129</v>
      </c>
      <c r="U57" s="822"/>
      <c r="V57" s="822"/>
      <c r="W57" s="822"/>
      <c r="X57" s="826" t="s">
        <v>130</v>
      </c>
      <c r="Y57" s="827"/>
      <c r="Z57" s="827"/>
      <c r="AA57" s="827"/>
      <c r="AB57" s="822" t="s">
        <v>131</v>
      </c>
      <c r="AC57" s="822"/>
      <c r="AD57" s="822"/>
      <c r="AE57" s="822"/>
    </row>
    <row r="58" spans="1:220" ht="19.5" customHeight="1">
      <c r="A58" s="130"/>
      <c r="B58" s="130"/>
      <c r="C58" s="130"/>
      <c r="D58" s="424" t="s">
        <v>123</v>
      </c>
      <c r="E58" s="425"/>
      <c r="F58" s="425"/>
      <c r="G58" s="424"/>
      <c r="H58" s="548">
        <f>SUM(H31:H36)</f>
        <v>16175</v>
      </c>
      <c r="I58" s="548">
        <f t="shared" ref="I58:O58" si="10">SUM(I31:I36)</f>
        <v>13112.5</v>
      </c>
      <c r="J58" s="548">
        <f t="shared" si="10"/>
        <v>13962.5</v>
      </c>
      <c r="K58" s="548">
        <f t="shared" si="10"/>
        <v>10950</v>
      </c>
      <c r="L58" s="548">
        <f>SUM(L31:L36)</f>
        <v>6500</v>
      </c>
      <c r="M58" s="548">
        <f t="shared" si="10"/>
        <v>6500</v>
      </c>
      <c r="N58" s="548">
        <f t="shared" si="10"/>
        <v>6500</v>
      </c>
      <c r="O58" s="548">
        <f t="shared" si="10"/>
        <v>4550</v>
      </c>
      <c r="P58" s="549"/>
      <c r="Q58" s="549"/>
      <c r="R58" s="549"/>
      <c r="S58" s="549"/>
      <c r="T58" s="549"/>
      <c r="U58" s="549"/>
      <c r="V58" s="549"/>
      <c r="W58" s="549"/>
      <c r="X58" s="548"/>
      <c r="Y58" s="548"/>
      <c r="Z58" s="548"/>
      <c r="AA58" s="548"/>
      <c r="AB58" s="548"/>
      <c r="AC58" s="548"/>
      <c r="AD58" s="548"/>
      <c r="AE58" s="548"/>
    </row>
    <row r="59" spans="1:220" ht="28.5" customHeight="1">
      <c r="A59" s="130"/>
      <c r="B59" s="130"/>
      <c r="C59" s="130"/>
      <c r="D59" s="426"/>
      <c r="E59" s="425"/>
      <c r="F59" s="425"/>
      <c r="G59" s="424"/>
      <c r="H59" s="548"/>
      <c r="I59" s="549"/>
      <c r="J59" s="549"/>
      <c r="K59" s="549"/>
      <c r="L59" s="549"/>
      <c r="M59" s="549"/>
      <c r="N59" s="549"/>
      <c r="O59" s="549"/>
      <c r="P59" s="549"/>
      <c r="Q59" s="549"/>
      <c r="R59" s="549"/>
      <c r="S59" s="549"/>
      <c r="T59" s="549"/>
      <c r="U59" s="549"/>
      <c r="V59" s="549"/>
      <c r="W59" s="549"/>
      <c r="X59" s="549"/>
      <c r="Y59" s="549"/>
      <c r="Z59" s="549"/>
      <c r="AA59" s="549"/>
      <c r="AB59" s="549"/>
      <c r="AC59" s="549"/>
      <c r="AD59" s="549"/>
      <c r="AE59" s="549"/>
    </row>
    <row r="60" spans="1:220" ht="17.25" customHeight="1">
      <c r="A60" s="130"/>
      <c r="B60" s="130"/>
      <c r="C60" s="130"/>
      <c r="D60" s="424" t="s">
        <v>124</v>
      </c>
      <c r="E60" s="425"/>
      <c r="F60" s="425"/>
      <c r="G60" s="424"/>
      <c r="H60" s="549"/>
      <c r="I60" s="549"/>
      <c r="J60" s="549"/>
      <c r="K60" s="549"/>
      <c r="L60" s="549"/>
      <c r="M60" s="549"/>
      <c r="N60" s="549"/>
      <c r="O60" s="549"/>
      <c r="P60" s="549"/>
      <c r="Q60" s="549"/>
      <c r="R60" s="549"/>
      <c r="S60" s="549"/>
      <c r="T60" s="549"/>
      <c r="U60" s="549"/>
      <c r="V60" s="549"/>
      <c r="W60" s="549"/>
      <c r="X60" s="548">
        <v>2920</v>
      </c>
      <c r="Y60" s="548">
        <v>7490.0000000000009</v>
      </c>
      <c r="Z60" s="548">
        <v>7490.0000000000009</v>
      </c>
      <c r="AA60" s="548">
        <v>6420</v>
      </c>
      <c r="AB60" s="548">
        <v>6420</v>
      </c>
      <c r="AC60" s="548">
        <v>6420</v>
      </c>
      <c r="AD60" s="548">
        <v>6420</v>
      </c>
      <c r="AE60" s="548">
        <v>6420</v>
      </c>
    </row>
    <row r="61" spans="1:220" ht="6.75" customHeight="1" thickBot="1">
      <c r="A61" s="130"/>
      <c r="B61" s="130"/>
      <c r="C61" s="130"/>
      <c r="E61" s="354"/>
      <c r="F61" s="354"/>
      <c r="G61" s="130"/>
    </row>
    <row r="62" spans="1:220" ht="15" customHeight="1" thickBot="1">
      <c r="A62" s="130"/>
      <c r="B62" s="130"/>
      <c r="C62" s="130"/>
      <c r="D62" s="427" t="s">
        <v>125</v>
      </c>
      <c r="E62" s="130"/>
      <c r="F62" s="354"/>
      <c r="G62" s="130"/>
      <c r="H62" s="112">
        <v>1750</v>
      </c>
    </row>
    <row r="63" spans="1:220" ht="15" customHeight="1">
      <c r="A63" s="130"/>
      <c r="B63" s="130"/>
      <c r="C63" s="130"/>
      <c r="D63" s="132"/>
      <c r="E63" s="130"/>
      <c r="F63" s="354"/>
      <c r="G63" s="130"/>
    </row>
    <row r="64" spans="1:220" ht="15" customHeight="1">
      <c r="A64" s="130"/>
      <c r="B64" s="130"/>
      <c r="C64" s="130"/>
      <c r="D64" s="132"/>
      <c r="E64" s="130"/>
      <c r="F64" s="354"/>
      <c r="G64" s="130"/>
    </row>
    <row r="65" spans="1:7" ht="15" customHeight="1">
      <c r="A65" s="130"/>
      <c r="B65" s="130"/>
      <c r="C65" s="130"/>
      <c r="D65" s="132"/>
      <c r="E65" s="130"/>
      <c r="F65" s="354"/>
      <c r="G65" s="130"/>
    </row>
    <row r="66" spans="1:7" ht="15" customHeight="1">
      <c r="A66" s="130"/>
      <c r="B66" s="130"/>
      <c r="C66" s="130"/>
      <c r="E66" s="130"/>
      <c r="F66" s="354"/>
      <c r="G66" s="130"/>
    </row>
    <row r="67" spans="1:7" ht="15" customHeight="1">
      <c r="A67" s="130"/>
      <c r="B67" s="130"/>
      <c r="C67" s="130"/>
      <c r="E67" s="130"/>
      <c r="F67" s="354"/>
      <c r="G67" s="130"/>
    </row>
    <row r="68" spans="1:7" ht="15" customHeight="1">
      <c r="A68" s="130"/>
      <c r="B68" s="130"/>
      <c r="C68" s="130"/>
      <c r="D68" s="133"/>
      <c r="E68" s="130"/>
      <c r="F68" s="354"/>
      <c r="G68" s="130"/>
    </row>
    <row r="69" spans="1:7" ht="15" customHeight="1">
      <c r="A69" s="130"/>
      <c r="B69" s="130"/>
      <c r="C69" s="130"/>
      <c r="D69" s="133"/>
      <c r="E69" s="130"/>
      <c r="F69" s="354"/>
      <c r="G69" s="130"/>
    </row>
    <row r="70" spans="1:7" ht="15" customHeight="1">
      <c r="A70" s="130"/>
      <c r="B70" s="130"/>
      <c r="C70" s="130"/>
      <c r="D70" s="132"/>
      <c r="E70" s="130"/>
      <c r="F70" s="354"/>
      <c r="G70" s="130"/>
    </row>
    <row r="71" spans="1:7" ht="15" customHeight="1">
      <c r="A71" s="130"/>
      <c r="B71" s="130"/>
      <c r="C71" s="130"/>
      <c r="D71" s="132"/>
      <c r="E71" s="130"/>
      <c r="F71" s="354"/>
      <c r="G71" s="130"/>
    </row>
    <row r="72" spans="1:7" ht="15" customHeight="1">
      <c r="A72" s="130"/>
      <c r="B72" s="130"/>
      <c r="C72" s="130"/>
      <c r="D72" s="132"/>
      <c r="E72" s="130"/>
      <c r="F72" s="354"/>
      <c r="G72" s="130"/>
    </row>
    <row r="73" spans="1:7" ht="15" customHeight="1">
      <c r="A73" s="130"/>
      <c r="B73" s="130"/>
      <c r="C73" s="130"/>
      <c r="D73" s="132"/>
      <c r="E73" s="130"/>
      <c r="F73" s="354"/>
      <c r="G73" s="130"/>
    </row>
    <row r="74" spans="1:7" ht="15" customHeight="1">
      <c r="A74" s="130"/>
      <c r="B74" s="130"/>
      <c r="C74" s="130"/>
      <c r="D74" s="132"/>
      <c r="E74" s="130"/>
      <c r="F74" s="354"/>
      <c r="G74" s="130"/>
    </row>
    <row r="75" spans="1:7" ht="15" customHeight="1">
      <c r="A75" s="130"/>
      <c r="B75" s="130"/>
      <c r="C75" s="130"/>
      <c r="D75" s="132"/>
      <c r="E75" s="130"/>
      <c r="F75" s="354"/>
      <c r="G75" s="130"/>
    </row>
    <row r="76" spans="1:7" ht="15" customHeight="1">
      <c r="A76" s="130"/>
      <c r="B76" s="130"/>
      <c r="C76" s="130"/>
      <c r="D76" s="132"/>
      <c r="E76" s="130"/>
      <c r="F76" s="354"/>
      <c r="G76" s="130"/>
    </row>
    <row r="77" spans="1:7" ht="15" customHeight="1">
      <c r="D77" s="132"/>
      <c r="E77" s="113"/>
    </row>
    <row r="78" spans="1:7" ht="15" customHeight="1">
      <c r="D78" s="132"/>
      <c r="E78" s="113"/>
    </row>
    <row r="79" spans="1:7" ht="15" customHeight="1">
      <c r="D79" s="132"/>
      <c r="E79" s="113"/>
    </row>
    <row r="80" spans="1:7" ht="15" customHeight="1">
      <c r="D80" s="132"/>
      <c r="E80" s="113"/>
    </row>
    <row r="81" spans="4:7" ht="15" customHeight="1">
      <c r="D81" s="132"/>
      <c r="E81" s="113"/>
    </row>
    <row r="82" spans="4:7" ht="15" customHeight="1">
      <c r="D82" s="132"/>
      <c r="E82" s="113"/>
    </row>
    <row r="83" spans="4:7" ht="15" customHeight="1">
      <c r="D83" s="132"/>
      <c r="E83" s="113"/>
    </row>
    <row r="85" spans="4:7" ht="15" customHeight="1">
      <c r="E85" s="356" t="e">
        <f>#REF!-29078000</f>
        <v>#REF!</v>
      </c>
    </row>
    <row r="90" spans="4:7" ht="15" customHeight="1">
      <c r="G90" s="357" t="e">
        <f>#REF!</f>
        <v>#REF!</v>
      </c>
    </row>
    <row r="93" spans="4:7" ht="15" customHeight="1">
      <c r="D93" s="358">
        <f>325000/1.75</f>
        <v>185714.28571428571</v>
      </c>
    </row>
    <row r="100" spans="3:4" ht="15" customHeight="1">
      <c r="D100" s="130" t="s">
        <v>55</v>
      </c>
    </row>
    <row r="101" spans="3:4" ht="15" customHeight="1">
      <c r="D101" s="130" t="s">
        <v>56</v>
      </c>
    </row>
    <row r="102" spans="3:4" ht="15" customHeight="1">
      <c r="C102" s="130" t="s">
        <v>57</v>
      </c>
    </row>
    <row r="103" spans="3:4" ht="15" customHeight="1">
      <c r="D103" s="137" t="s">
        <v>58</v>
      </c>
    </row>
    <row r="104" spans="3:4" ht="15" customHeight="1">
      <c r="D104" s="137" t="s">
        <v>59</v>
      </c>
    </row>
    <row r="105" spans="3:4" ht="15" customHeight="1">
      <c r="C105" s="130" t="s">
        <v>60</v>
      </c>
      <c r="D105" s="137"/>
    </row>
    <row r="106" spans="3:4" ht="15" customHeight="1">
      <c r="D106" s="137" t="s">
        <v>58</v>
      </c>
    </row>
    <row r="107" spans="3:4" ht="15" customHeight="1">
      <c r="D107" s="137" t="s">
        <v>59</v>
      </c>
    </row>
    <row r="108" spans="3:4" ht="15" customHeight="1">
      <c r="D108" s="137"/>
    </row>
    <row r="109" spans="3:4" ht="15" customHeight="1">
      <c r="D109" s="137"/>
    </row>
    <row r="110" spans="3:4" ht="15" customHeight="1">
      <c r="D110" s="137"/>
    </row>
    <row r="111" spans="3:4" ht="15" customHeight="1">
      <c r="D111" s="137"/>
    </row>
    <row r="112" spans="3:4" ht="15" customHeight="1">
      <c r="D112" s="137"/>
    </row>
  </sheetData>
  <mergeCells count="26">
    <mergeCell ref="AB57:AE57"/>
    <mergeCell ref="B13:D13"/>
    <mergeCell ref="H57:K57"/>
    <mergeCell ref="L57:O57"/>
    <mergeCell ref="P57:S57"/>
    <mergeCell ref="T57:W57"/>
    <mergeCell ref="X57:AA57"/>
    <mergeCell ref="B39:D39"/>
    <mergeCell ref="B50:D50"/>
    <mergeCell ref="B53:D53"/>
    <mergeCell ref="A55:D55"/>
    <mergeCell ref="AF3:AF5"/>
    <mergeCell ref="AD4:AE4"/>
    <mergeCell ref="B6:D6"/>
    <mergeCell ref="B7:D7"/>
    <mergeCell ref="B12:D12"/>
    <mergeCell ref="Z4:AC4"/>
    <mergeCell ref="A3:D5"/>
    <mergeCell ref="E3:E5"/>
    <mergeCell ref="F3:F5"/>
    <mergeCell ref="H3:AE3"/>
    <mergeCell ref="H4:I4"/>
    <mergeCell ref="J4:M4"/>
    <mergeCell ref="N4:Q4"/>
    <mergeCell ref="R4:U4"/>
    <mergeCell ref="V4:Y4"/>
  </mergeCells>
  <pageMargins left="0.35433070866141736" right="0.78740157480314965" top="0.98425196850393704" bottom="0.59055118110236227" header="0.51181102362204722" footer="0.51181102362204722"/>
  <pageSetup scale="55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83"/>
  <sheetViews>
    <sheetView tabSelected="1" view="pageBreakPreview" topLeftCell="B1" zoomScale="85" zoomScaleNormal="75" zoomScaleSheetLayoutView="85" workbookViewId="0">
      <pane xSplit="2" ySplit="11" topLeftCell="D12" activePane="bottomRight" state="frozen"/>
      <selection activeCell="B1" sqref="B1"/>
      <selection pane="topRight" activeCell="D1" sqref="D1"/>
      <selection pane="bottomLeft" activeCell="B14" sqref="B14"/>
      <selection pane="bottomRight" activeCell="C12" sqref="C12"/>
    </sheetView>
  </sheetViews>
  <sheetFormatPr defaultRowHeight="15"/>
  <cols>
    <col min="1" max="1" width="6.140625" style="550" customWidth="1"/>
    <col min="2" max="2" width="9.140625" style="579" customWidth="1"/>
    <col min="3" max="3" width="110.5703125" style="588" customWidth="1"/>
    <col min="4" max="4" width="17" style="582" customWidth="1"/>
    <col min="5" max="5" width="18.28515625" style="524" customWidth="1"/>
    <col min="6" max="6" width="15.5703125" style="572" customWidth="1"/>
    <col min="7" max="7" width="11.5703125" style="572" customWidth="1"/>
    <col min="8" max="8" width="10.5703125" style="572" customWidth="1"/>
    <col min="9" max="9" width="10.42578125" style="572" customWidth="1"/>
    <col min="10" max="10" width="19.140625" style="550" customWidth="1"/>
    <col min="11" max="11" width="18.140625" style="550" customWidth="1"/>
    <col min="12" max="12" width="8.7109375" style="692" customWidth="1"/>
    <col min="13" max="13" width="32.42578125" style="573" customWidth="1"/>
    <col min="14" max="16384" width="9.140625" style="550"/>
  </cols>
  <sheetData>
    <row r="1" spans="1:13">
      <c r="B1" s="845" t="s">
        <v>312</v>
      </c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</row>
    <row r="2" spans="1:13">
      <c r="B2" s="845" t="s">
        <v>314</v>
      </c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</row>
    <row r="3" spans="1:13">
      <c r="B3" s="845" t="s">
        <v>315</v>
      </c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</row>
    <row r="4" spans="1:13">
      <c r="B4" s="845" t="s">
        <v>313</v>
      </c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</row>
    <row r="5" spans="1:13" ht="16.5" customHeight="1">
      <c r="B5" s="574"/>
      <c r="C5" s="587" t="s">
        <v>394</v>
      </c>
      <c r="D5" s="581"/>
      <c r="E5" s="564"/>
      <c r="J5" s="572"/>
      <c r="K5" s="572"/>
    </row>
    <row r="6" spans="1:13" ht="16.5" customHeight="1">
      <c r="B6" s="574"/>
      <c r="C6" s="587" t="s">
        <v>256</v>
      </c>
      <c r="D6" s="581"/>
      <c r="E6" s="565"/>
      <c r="J6" s="572"/>
      <c r="K6" s="572"/>
    </row>
    <row r="7" spans="1:13" ht="16.5" customHeight="1">
      <c r="B7" s="574"/>
      <c r="C7" s="587" t="s">
        <v>257</v>
      </c>
      <c r="D7" s="581"/>
      <c r="E7" s="602"/>
      <c r="J7" s="572"/>
      <c r="K7" s="572"/>
    </row>
    <row r="8" spans="1:13" ht="21" customHeight="1">
      <c r="B8" s="848" t="s">
        <v>191</v>
      </c>
      <c r="C8" s="837" t="s">
        <v>192</v>
      </c>
      <c r="D8" s="837" t="s">
        <v>276</v>
      </c>
      <c r="E8" s="849" t="s">
        <v>381</v>
      </c>
      <c r="F8" s="837" t="s">
        <v>258</v>
      </c>
      <c r="G8" s="837" t="s">
        <v>259</v>
      </c>
      <c r="H8" s="758" t="s">
        <v>193</v>
      </c>
      <c r="I8" s="758"/>
      <c r="J8" s="758" t="s">
        <v>194</v>
      </c>
      <c r="K8" s="758"/>
      <c r="L8" s="847" t="s">
        <v>262</v>
      </c>
      <c r="M8" s="837" t="s">
        <v>263</v>
      </c>
    </row>
    <row r="9" spans="1:13" ht="21" customHeight="1">
      <c r="B9" s="848"/>
      <c r="C9" s="837"/>
      <c r="D9" s="837"/>
      <c r="E9" s="849"/>
      <c r="F9" s="837"/>
      <c r="G9" s="837"/>
      <c r="H9" s="837" t="s">
        <v>329</v>
      </c>
      <c r="I9" s="837" t="s">
        <v>330</v>
      </c>
      <c r="J9" s="837" t="s">
        <v>260</v>
      </c>
      <c r="K9" s="837" t="s">
        <v>261</v>
      </c>
      <c r="L9" s="847"/>
      <c r="M9" s="837"/>
    </row>
    <row r="10" spans="1:13" ht="27.75" customHeight="1">
      <c r="B10" s="848"/>
      <c r="C10" s="837"/>
      <c r="D10" s="837"/>
      <c r="E10" s="849"/>
      <c r="F10" s="837"/>
      <c r="G10" s="837"/>
      <c r="H10" s="837"/>
      <c r="I10" s="837"/>
      <c r="J10" s="837"/>
      <c r="K10" s="837"/>
      <c r="L10" s="847"/>
      <c r="M10" s="837"/>
    </row>
    <row r="11" spans="1:13" ht="7.5" customHeight="1">
      <c r="A11" s="598">
        <v>1</v>
      </c>
      <c r="B11" s="586"/>
      <c r="C11" s="591"/>
      <c r="D11" s="592"/>
      <c r="E11" s="599"/>
      <c r="F11" s="592"/>
      <c r="G11" s="592"/>
      <c r="H11" s="757"/>
      <c r="I11" s="757"/>
      <c r="J11" s="593"/>
      <c r="K11" s="593"/>
      <c r="L11" s="734"/>
      <c r="M11" s="594"/>
    </row>
    <row r="12" spans="1:13" s="432" customFormat="1" ht="24" customHeight="1">
      <c r="A12" s="433">
        <v>2</v>
      </c>
      <c r="B12" s="748" t="s">
        <v>252</v>
      </c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6"/>
    </row>
    <row r="13" spans="1:13" s="637" customFormat="1" ht="21" customHeight="1">
      <c r="A13" s="634"/>
      <c r="B13" s="609" t="s">
        <v>195</v>
      </c>
      <c r="C13" s="610" t="s">
        <v>361</v>
      </c>
      <c r="D13" s="609" t="s">
        <v>339</v>
      </c>
      <c r="E13" s="617">
        <v>174</v>
      </c>
      <c r="F13" s="608" t="s">
        <v>153</v>
      </c>
      <c r="G13" s="608" t="s">
        <v>237</v>
      </c>
      <c r="H13" s="635">
        <v>1</v>
      </c>
      <c r="I13" s="635">
        <v>0</v>
      </c>
      <c r="J13" s="636">
        <v>41609</v>
      </c>
      <c r="K13" s="636">
        <v>42339</v>
      </c>
      <c r="L13" s="608" t="s">
        <v>199</v>
      </c>
      <c r="M13" s="607"/>
    </row>
    <row r="14" spans="1:13" s="637" customFormat="1" ht="21" customHeight="1">
      <c r="A14" s="634"/>
      <c r="B14" s="609" t="s">
        <v>196</v>
      </c>
      <c r="C14" s="610" t="s">
        <v>356</v>
      </c>
      <c r="D14" s="609" t="s">
        <v>340</v>
      </c>
      <c r="E14" s="617">
        <v>152</v>
      </c>
      <c r="F14" s="608" t="s">
        <v>153</v>
      </c>
      <c r="G14" s="608" t="s">
        <v>237</v>
      </c>
      <c r="H14" s="635">
        <v>1</v>
      </c>
      <c r="I14" s="635">
        <v>0</v>
      </c>
      <c r="J14" s="636">
        <v>41699</v>
      </c>
      <c r="K14" s="636">
        <v>42491</v>
      </c>
      <c r="L14" s="608" t="s">
        <v>199</v>
      </c>
      <c r="M14" s="607"/>
    </row>
    <row r="15" spans="1:13" s="637" customFormat="1" ht="21" customHeight="1">
      <c r="A15" s="634"/>
      <c r="B15" s="609" t="s">
        <v>197</v>
      </c>
      <c r="C15" s="610" t="s">
        <v>357</v>
      </c>
      <c r="D15" s="609" t="s">
        <v>341</v>
      </c>
      <c r="E15" s="617">
        <v>152</v>
      </c>
      <c r="F15" s="608" t="s">
        <v>153</v>
      </c>
      <c r="G15" s="608" t="s">
        <v>237</v>
      </c>
      <c r="H15" s="635">
        <v>1</v>
      </c>
      <c r="I15" s="635">
        <v>0</v>
      </c>
      <c r="J15" s="636">
        <v>41579</v>
      </c>
      <c r="K15" s="636">
        <v>42339</v>
      </c>
      <c r="L15" s="608" t="s">
        <v>199</v>
      </c>
      <c r="M15" s="607"/>
    </row>
    <row r="16" spans="1:13" s="637" customFormat="1" ht="21" customHeight="1">
      <c r="A16" s="634"/>
      <c r="B16" s="609" t="s">
        <v>198</v>
      </c>
      <c r="C16" s="610" t="s">
        <v>358</v>
      </c>
      <c r="D16" s="609" t="s">
        <v>342</v>
      </c>
      <c r="E16" s="617">
        <v>104</v>
      </c>
      <c r="F16" s="608" t="s">
        <v>153</v>
      </c>
      <c r="G16" s="608" t="s">
        <v>237</v>
      </c>
      <c r="H16" s="635">
        <v>1</v>
      </c>
      <c r="I16" s="635">
        <v>0</v>
      </c>
      <c r="J16" s="636">
        <v>41699</v>
      </c>
      <c r="K16" s="636">
        <v>42491</v>
      </c>
      <c r="L16" s="608" t="s">
        <v>199</v>
      </c>
      <c r="M16" s="607"/>
    </row>
    <row r="17" spans="1:13" s="637" customFormat="1" ht="21" customHeight="1">
      <c r="A17" s="634"/>
      <c r="B17" s="609" t="s">
        <v>338</v>
      </c>
      <c r="C17" s="610" t="s">
        <v>359</v>
      </c>
      <c r="D17" s="609" t="s">
        <v>343</v>
      </c>
      <c r="E17" s="617">
        <v>88</v>
      </c>
      <c r="F17" s="608" t="s">
        <v>153</v>
      </c>
      <c r="G17" s="608" t="s">
        <v>237</v>
      </c>
      <c r="H17" s="635">
        <v>1</v>
      </c>
      <c r="I17" s="635">
        <v>0</v>
      </c>
      <c r="J17" s="636">
        <v>41699</v>
      </c>
      <c r="K17" s="636">
        <v>42491</v>
      </c>
      <c r="L17" s="608" t="s">
        <v>199</v>
      </c>
      <c r="M17" s="607"/>
    </row>
    <row r="18" spans="1:13" s="637" customFormat="1" ht="21" customHeight="1">
      <c r="A18" s="634"/>
      <c r="B18" s="609" t="s">
        <v>245</v>
      </c>
      <c r="C18" s="610" t="s">
        <v>360</v>
      </c>
      <c r="D18" s="609" t="s">
        <v>344</v>
      </c>
      <c r="E18" s="617">
        <v>132</v>
      </c>
      <c r="F18" s="608" t="s">
        <v>153</v>
      </c>
      <c r="G18" s="608" t="s">
        <v>237</v>
      </c>
      <c r="H18" s="635">
        <v>1</v>
      </c>
      <c r="I18" s="635">
        <v>0</v>
      </c>
      <c r="J18" s="636">
        <v>41699</v>
      </c>
      <c r="K18" s="636">
        <v>42491</v>
      </c>
      <c r="L18" s="608" t="s">
        <v>199</v>
      </c>
      <c r="M18" s="607"/>
    </row>
    <row r="19" spans="1:13" s="637" customFormat="1" ht="21" customHeight="1">
      <c r="A19" s="634"/>
      <c r="B19" s="609" t="s">
        <v>255</v>
      </c>
      <c r="C19" s="610" t="s">
        <v>393</v>
      </c>
      <c r="D19" s="609" t="s">
        <v>345</v>
      </c>
      <c r="E19" s="617">
        <v>32</v>
      </c>
      <c r="F19" s="608" t="s">
        <v>153</v>
      </c>
      <c r="G19" s="608" t="s">
        <v>237</v>
      </c>
      <c r="H19" s="635">
        <v>1</v>
      </c>
      <c r="I19" s="635">
        <v>0</v>
      </c>
      <c r="J19" s="636">
        <v>41609</v>
      </c>
      <c r="K19" s="636">
        <v>42064</v>
      </c>
      <c r="L19" s="608" t="s">
        <v>199</v>
      </c>
      <c r="M19" s="607"/>
    </row>
    <row r="20" spans="1:13" s="644" customFormat="1" ht="21" customHeight="1">
      <c r="A20" s="638">
        <v>3</v>
      </c>
      <c r="B20" s="609" t="s">
        <v>285</v>
      </c>
      <c r="C20" s="639" t="s">
        <v>363</v>
      </c>
      <c r="D20" s="640" t="s">
        <v>195</v>
      </c>
      <c r="E20" s="601">
        <v>11000</v>
      </c>
      <c r="F20" s="641" t="s">
        <v>105</v>
      </c>
      <c r="G20" s="651" t="s">
        <v>236</v>
      </c>
      <c r="H20" s="642">
        <v>1</v>
      </c>
      <c r="I20" s="642">
        <v>0</v>
      </c>
      <c r="J20" s="636">
        <v>41518</v>
      </c>
      <c r="K20" s="636">
        <v>43313</v>
      </c>
      <c r="L20" s="608" t="s">
        <v>264</v>
      </c>
      <c r="M20" s="643"/>
    </row>
    <row r="21" spans="1:13" s="644" customFormat="1" ht="21" customHeight="1">
      <c r="A21" s="645">
        <v>0</v>
      </c>
      <c r="B21" s="609" t="s">
        <v>286</v>
      </c>
      <c r="C21" s="639" t="s">
        <v>362</v>
      </c>
      <c r="D21" s="640" t="s">
        <v>197</v>
      </c>
      <c r="E21" s="601">
        <v>3950</v>
      </c>
      <c r="F21" s="641" t="s">
        <v>105</v>
      </c>
      <c r="G21" s="641" t="s">
        <v>236</v>
      </c>
      <c r="H21" s="642">
        <v>1</v>
      </c>
      <c r="I21" s="642">
        <v>0</v>
      </c>
      <c r="J21" s="636">
        <v>41640</v>
      </c>
      <c r="K21" s="636">
        <v>43678</v>
      </c>
      <c r="L21" s="608" t="s">
        <v>199</v>
      </c>
      <c r="M21" s="643"/>
    </row>
    <row r="22" spans="1:13" s="644" customFormat="1" ht="21" customHeight="1">
      <c r="A22" s="638">
        <v>5</v>
      </c>
      <c r="B22" s="712" t="s">
        <v>287</v>
      </c>
      <c r="C22" s="646" t="s">
        <v>244</v>
      </c>
      <c r="D22" s="647" t="s">
        <v>200</v>
      </c>
      <c r="E22" s="601">
        <f>1243*2/2.2</f>
        <v>1130</v>
      </c>
      <c r="F22" s="608" t="s">
        <v>106</v>
      </c>
      <c r="G22" s="608" t="s">
        <v>237</v>
      </c>
      <c r="H22" s="642">
        <v>0</v>
      </c>
      <c r="I22" s="642">
        <v>1</v>
      </c>
      <c r="J22" s="636">
        <v>41183</v>
      </c>
      <c r="K22" s="636">
        <v>41821</v>
      </c>
      <c r="L22" s="608" t="s">
        <v>254</v>
      </c>
      <c r="M22" s="643"/>
    </row>
    <row r="23" spans="1:13" s="721" customFormat="1" ht="18.75" customHeight="1">
      <c r="A23" s="713"/>
      <c r="B23" s="753" t="s">
        <v>288</v>
      </c>
      <c r="C23" s="714" t="s">
        <v>382</v>
      </c>
      <c r="D23" s="715" t="s">
        <v>202</v>
      </c>
      <c r="E23" s="716">
        <v>4500</v>
      </c>
      <c r="F23" s="717" t="s">
        <v>105</v>
      </c>
      <c r="G23" s="717" t="s">
        <v>236</v>
      </c>
      <c r="H23" s="718">
        <v>1</v>
      </c>
      <c r="I23" s="718">
        <v>0</v>
      </c>
      <c r="J23" s="719">
        <v>41609</v>
      </c>
      <c r="K23" s="719">
        <v>42370</v>
      </c>
      <c r="L23" s="717" t="s">
        <v>383</v>
      </c>
      <c r="M23" s="720"/>
    </row>
    <row r="24" spans="1:13" s="650" customFormat="1" ht="39" customHeight="1">
      <c r="A24" s="645">
        <v>6</v>
      </c>
      <c r="B24" s="712" t="s">
        <v>289</v>
      </c>
      <c r="C24" s="648" t="s">
        <v>376</v>
      </c>
      <c r="D24" s="649" t="s">
        <v>277</v>
      </c>
      <c r="E24" s="601">
        <v>70</v>
      </c>
      <c r="F24" s="608" t="s">
        <v>153</v>
      </c>
      <c r="G24" s="608" t="s">
        <v>237</v>
      </c>
      <c r="H24" s="642">
        <v>1</v>
      </c>
      <c r="I24" s="642">
        <v>0</v>
      </c>
      <c r="J24" s="636">
        <v>41913</v>
      </c>
      <c r="K24" s="636">
        <v>42186</v>
      </c>
      <c r="L24" s="608" t="s">
        <v>199</v>
      </c>
      <c r="M24" s="643"/>
    </row>
    <row r="25" spans="1:13" s="644" customFormat="1" ht="20.25" customHeight="1">
      <c r="A25" s="638">
        <v>7</v>
      </c>
      <c r="B25" s="712" t="s">
        <v>316</v>
      </c>
      <c r="C25" s="648" t="s">
        <v>377</v>
      </c>
      <c r="D25" s="649" t="s">
        <v>207</v>
      </c>
      <c r="E25" s="521">
        <v>450</v>
      </c>
      <c r="F25" s="641" t="s">
        <v>105</v>
      </c>
      <c r="G25" s="617" t="s">
        <v>237</v>
      </c>
      <c r="H25" s="642">
        <v>1</v>
      </c>
      <c r="I25" s="642">
        <v>0</v>
      </c>
      <c r="J25" s="636">
        <v>41760</v>
      </c>
      <c r="K25" s="636">
        <v>42278</v>
      </c>
      <c r="L25" s="608" t="s">
        <v>199</v>
      </c>
      <c r="M25" s="643"/>
    </row>
    <row r="26" spans="1:13" s="721" customFormat="1" ht="18.75" customHeight="1">
      <c r="A26" s="713"/>
      <c r="B26" s="753" t="s">
        <v>290</v>
      </c>
      <c r="C26" s="725" t="s">
        <v>384</v>
      </c>
      <c r="D26" s="726" t="s">
        <v>208</v>
      </c>
      <c r="E26" s="716">
        <v>200</v>
      </c>
      <c r="F26" s="717" t="s">
        <v>162</v>
      </c>
      <c r="G26" s="727" t="s">
        <v>236</v>
      </c>
      <c r="H26" s="718">
        <v>1</v>
      </c>
      <c r="I26" s="718">
        <v>0</v>
      </c>
      <c r="J26" s="719">
        <v>41395</v>
      </c>
      <c r="K26" s="719">
        <v>41760</v>
      </c>
      <c r="L26" s="717" t="s">
        <v>383</v>
      </c>
      <c r="M26" s="720"/>
    </row>
    <row r="27" spans="1:13" s="724" customFormat="1" ht="21" customHeight="1">
      <c r="A27" s="722">
        <v>8</v>
      </c>
      <c r="B27" s="749" t="s">
        <v>291</v>
      </c>
      <c r="C27" s="687" t="s">
        <v>273</v>
      </c>
      <c r="D27" s="688" t="s">
        <v>209</v>
      </c>
      <c r="E27" s="616">
        <v>1750</v>
      </c>
      <c r="F27" s="683" t="s">
        <v>105</v>
      </c>
      <c r="G27" s="685" t="s">
        <v>236</v>
      </c>
      <c r="H27" s="684">
        <v>1</v>
      </c>
      <c r="I27" s="684">
        <v>0</v>
      </c>
      <c r="J27" s="693">
        <v>41883</v>
      </c>
      <c r="K27" s="693">
        <v>42795</v>
      </c>
      <c r="L27" s="683" t="s">
        <v>199</v>
      </c>
      <c r="M27" s="723"/>
    </row>
    <row r="28" spans="1:13" s="644" customFormat="1" ht="49.5" customHeight="1">
      <c r="A28" s="645">
        <v>10</v>
      </c>
      <c r="B28" s="712" t="s">
        <v>292</v>
      </c>
      <c r="C28" s="653" t="s">
        <v>325</v>
      </c>
      <c r="D28" s="654" t="s">
        <v>211</v>
      </c>
      <c r="E28" s="611">
        <f>512+600</f>
        <v>1112</v>
      </c>
      <c r="F28" s="608" t="s">
        <v>324</v>
      </c>
      <c r="G28" s="641" t="s">
        <v>236</v>
      </c>
      <c r="H28" s="642">
        <v>1</v>
      </c>
      <c r="I28" s="642">
        <v>0</v>
      </c>
      <c r="J28" s="636">
        <v>41699</v>
      </c>
      <c r="K28" s="636">
        <v>42339</v>
      </c>
      <c r="L28" s="608" t="s">
        <v>199</v>
      </c>
      <c r="M28" s="643"/>
    </row>
    <row r="29" spans="1:13" s="655" customFormat="1" ht="49.5" customHeight="1">
      <c r="A29" s="709"/>
      <c r="B29" s="749" t="s">
        <v>293</v>
      </c>
      <c r="C29" s="750" t="s">
        <v>379</v>
      </c>
      <c r="D29" s="658" t="s">
        <v>213</v>
      </c>
      <c r="E29" s="614">
        <v>2728</v>
      </c>
      <c r="F29" s="659" t="s">
        <v>105</v>
      </c>
      <c r="G29" s="659" t="s">
        <v>236</v>
      </c>
      <c r="H29" s="660">
        <v>1</v>
      </c>
      <c r="I29" s="660">
        <v>0</v>
      </c>
      <c r="J29" s="661">
        <v>41760</v>
      </c>
      <c r="K29" s="661">
        <v>43282</v>
      </c>
      <c r="L29" s="659" t="s">
        <v>199</v>
      </c>
      <c r="M29" s="710"/>
    </row>
    <row r="30" spans="1:13" s="655" customFormat="1" ht="32.25" customHeight="1">
      <c r="A30" s="638">
        <v>11</v>
      </c>
      <c r="B30" s="712" t="s">
        <v>294</v>
      </c>
      <c r="C30" s="648" t="s">
        <v>378</v>
      </c>
      <c r="D30" s="649" t="s">
        <v>265</v>
      </c>
      <c r="E30" s="601">
        <v>850</v>
      </c>
      <c r="F30" s="641" t="s">
        <v>105</v>
      </c>
      <c r="G30" s="641" t="s">
        <v>237</v>
      </c>
      <c r="H30" s="642">
        <v>1</v>
      </c>
      <c r="I30" s="642">
        <v>0</v>
      </c>
      <c r="J30" s="636">
        <v>41852</v>
      </c>
      <c r="K30" s="636">
        <v>42583</v>
      </c>
      <c r="L30" s="608" t="s">
        <v>199</v>
      </c>
      <c r="M30" s="585"/>
    </row>
    <row r="31" spans="1:13" s="656" customFormat="1" ht="40.5" customHeight="1">
      <c r="A31" s="645">
        <v>12</v>
      </c>
      <c r="B31" s="712" t="s">
        <v>295</v>
      </c>
      <c r="C31" s="648" t="s">
        <v>274</v>
      </c>
      <c r="D31" s="649" t="s">
        <v>333</v>
      </c>
      <c r="E31" s="601">
        <v>700</v>
      </c>
      <c r="F31" s="641" t="s">
        <v>105</v>
      </c>
      <c r="G31" s="608" t="s">
        <v>237</v>
      </c>
      <c r="H31" s="642">
        <v>1</v>
      </c>
      <c r="I31" s="642">
        <v>0</v>
      </c>
      <c r="J31" s="652">
        <v>41913</v>
      </c>
      <c r="K31" s="652">
        <v>42278</v>
      </c>
      <c r="L31" s="641" t="s">
        <v>199</v>
      </c>
      <c r="M31" s="585"/>
    </row>
    <row r="32" spans="1:13" s="644" customFormat="1" ht="21.75" customHeight="1">
      <c r="A32" s="638">
        <v>13</v>
      </c>
      <c r="B32" s="749" t="s">
        <v>296</v>
      </c>
      <c r="C32" s="657" t="s">
        <v>380</v>
      </c>
      <c r="D32" s="658" t="s">
        <v>280</v>
      </c>
      <c r="E32" s="612">
        <v>52.8</v>
      </c>
      <c r="F32" s="659" t="s">
        <v>162</v>
      </c>
      <c r="G32" s="659" t="s">
        <v>237</v>
      </c>
      <c r="H32" s="660">
        <v>1</v>
      </c>
      <c r="I32" s="660">
        <v>0</v>
      </c>
      <c r="J32" s="661">
        <v>42005</v>
      </c>
      <c r="K32" s="661">
        <v>42217</v>
      </c>
      <c r="L32" s="659" t="s">
        <v>199</v>
      </c>
      <c r="M32" s="585"/>
    </row>
    <row r="33" spans="1:13" s="644" customFormat="1" ht="21.75" customHeight="1">
      <c r="A33" s="645">
        <v>14</v>
      </c>
      <c r="B33" s="712" t="s">
        <v>297</v>
      </c>
      <c r="C33" s="648" t="s">
        <v>275</v>
      </c>
      <c r="D33" s="649" t="s">
        <v>230</v>
      </c>
      <c r="E33" s="601">
        <v>1540</v>
      </c>
      <c r="F33" s="608" t="s">
        <v>105</v>
      </c>
      <c r="G33" s="641" t="s">
        <v>236</v>
      </c>
      <c r="H33" s="642">
        <v>1</v>
      </c>
      <c r="I33" s="642">
        <v>0</v>
      </c>
      <c r="J33" s="636">
        <v>41671</v>
      </c>
      <c r="K33" s="636">
        <v>43678</v>
      </c>
      <c r="L33" s="608" t="s">
        <v>199</v>
      </c>
      <c r="M33" s="585"/>
    </row>
    <row r="34" spans="1:13" s="666" customFormat="1" ht="41.25" customHeight="1">
      <c r="A34" s="638">
        <v>15</v>
      </c>
      <c r="B34" s="749" t="s">
        <v>298</v>
      </c>
      <c r="C34" s="662" t="s">
        <v>272</v>
      </c>
      <c r="D34" s="663" t="s">
        <v>284</v>
      </c>
      <c r="E34" s="603">
        <v>67.5</v>
      </c>
      <c r="F34" s="664" t="s">
        <v>162</v>
      </c>
      <c r="G34" s="664" t="s">
        <v>237</v>
      </c>
      <c r="H34" s="665">
        <v>1</v>
      </c>
      <c r="I34" s="665">
        <v>0</v>
      </c>
      <c r="J34" s="661">
        <v>41791</v>
      </c>
      <c r="K34" s="661">
        <v>42370</v>
      </c>
      <c r="L34" s="711" t="s">
        <v>199</v>
      </c>
      <c r="M34" s="585"/>
    </row>
    <row r="35" spans="1:13" s="666" customFormat="1" ht="40.5" customHeight="1">
      <c r="A35" s="645">
        <v>16</v>
      </c>
      <c r="B35" s="749" t="s">
        <v>299</v>
      </c>
      <c r="C35" s="662" t="s">
        <v>270</v>
      </c>
      <c r="D35" s="663" t="s">
        <v>282</v>
      </c>
      <c r="E35" s="614">
        <v>375</v>
      </c>
      <c r="F35" s="664" t="s">
        <v>105</v>
      </c>
      <c r="G35" s="664" t="s">
        <v>237</v>
      </c>
      <c r="H35" s="665">
        <v>1</v>
      </c>
      <c r="I35" s="665">
        <v>0</v>
      </c>
      <c r="J35" s="661">
        <v>41791</v>
      </c>
      <c r="K35" s="661">
        <v>42370</v>
      </c>
      <c r="L35" s="664" t="s">
        <v>199</v>
      </c>
      <c r="M35" s="585"/>
    </row>
    <row r="36" spans="1:13" s="667" customFormat="1" ht="54" customHeight="1">
      <c r="A36" s="638">
        <v>17</v>
      </c>
      <c r="B36" s="749" t="s">
        <v>334</v>
      </c>
      <c r="C36" s="662" t="s">
        <v>271</v>
      </c>
      <c r="D36" s="663" t="s">
        <v>283</v>
      </c>
      <c r="E36" s="614">
        <v>90</v>
      </c>
      <c r="F36" s="664" t="s">
        <v>162</v>
      </c>
      <c r="G36" s="664" t="s">
        <v>237</v>
      </c>
      <c r="H36" s="665">
        <v>1</v>
      </c>
      <c r="I36" s="665">
        <v>0</v>
      </c>
      <c r="J36" s="661">
        <v>42156</v>
      </c>
      <c r="K36" s="661">
        <v>42736</v>
      </c>
      <c r="L36" s="664" t="s">
        <v>199</v>
      </c>
      <c r="M36" s="585"/>
    </row>
    <row r="37" spans="1:13" s="667" customFormat="1" ht="24" customHeight="1">
      <c r="A37" s="645">
        <v>18</v>
      </c>
      <c r="B37" s="749" t="s">
        <v>336</v>
      </c>
      <c r="C37" s="662" t="s">
        <v>364</v>
      </c>
      <c r="D37" s="663" t="s">
        <v>332</v>
      </c>
      <c r="E37" s="614">
        <f>8700*5%</f>
        <v>435</v>
      </c>
      <c r="F37" s="664" t="s">
        <v>105</v>
      </c>
      <c r="G37" s="664" t="s">
        <v>237</v>
      </c>
      <c r="H37" s="665">
        <v>1</v>
      </c>
      <c r="I37" s="665">
        <v>0</v>
      </c>
      <c r="J37" s="661">
        <v>41883</v>
      </c>
      <c r="K37" s="661">
        <v>42248</v>
      </c>
      <c r="L37" s="664" t="s">
        <v>199</v>
      </c>
      <c r="M37" s="585"/>
    </row>
    <row r="38" spans="1:13" s="644" customFormat="1" ht="23.25" customHeight="1">
      <c r="A38" s="638">
        <v>19</v>
      </c>
      <c r="B38" s="712" t="s">
        <v>337</v>
      </c>
      <c r="C38" s="648" t="s">
        <v>251</v>
      </c>
      <c r="D38" s="668" t="s">
        <v>22</v>
      </c>
      <c r="E38" s="521">
        <v>600</v>
      </c>
      <c r="F38" s="641" t="s">
        <v>105</v>
      </c>
      <c r="G38" s="651" t="s">
        <v>236</v>
      </c>
      <c r="H38" s="642">
        <v>1</v>
      </c>
      <c r="I38" s="642">
        <v>0</v>
      </c>
      <c r="J38" s="652">
        <v>41821</v>
      </c>
      <c r="K38" s="652">
        <v>43678</v>
      </c>
      <c r="L38" s="641" t="s">
        <v>199</v>
      </c>
      <c r="M38" s="585" t="s">
        <v>392</v>
      </c>
    </row>
    <row r="39" spans="1:13" s="644" customFormat="1" ht="24" customHeight="1">
      <c r="A39" s="638"/>
      <c r="B39" s="749" t="s">
        <v>354</v>
      </c>
      <c r="C39" s="669" t="s">
        <v>391</v>
      </c>
      <c r="D39" s="760" t="s">
        <v>335</v>
      </c>
      <c r="E39" s="615">
        <v>2850</v>
      </c>
      <c r="F39" s="659" t="s">
        <v>105</v>
      </c>
      <c r="G39" s="664" t="s">
        <v>236</v>
      </c>
      <c r="H39" s="660">
        <v>1</v>
      </c>
      <c r="I39" s="660">
        <v>0</v>
      </c>
      <c r="J39" s="661">
        <v>41671</v>
      </c>
      <c r="K39" s="661">
        <v>43282</v>
      </c>
      <c r="L39" s="659" t="s">
        <v>199</v>
      </c>
      <c r="M39" s="585"/>
    </row>
    <row r="40" spans="1:13" s="568" customFormat="1" ht="33" customHeight="1">
      <c r="A40" s="645">
        <v>20</v>
      </c>
      <c r="B40" s="578" t="s">
        <v>328</v>
      </c>
      <c r="C40" s="595"/>
      <c r="D40" s="759"/>
      <c r="E40" s="570">
        <f>SUM(E13:E39)-E23-E26</f>
        <v>30584.300000000003</v>
      </c>
      <c r="F40" s="575"/>
      <c r="G40" s="576"/>
      <c r="H40" s="576"/>
      <c r="I40" s="576"/>
      <c r="J40" s="576"/>
      <c r="K40" s="576"/>
      <c r="L40" s="735"/>
      <c r="M40" s="577"/>
    </row>
    <row r="41" spans="1:13" s="567" customFormat="1" ht="26.25" customHeight="1">
      <c r="A41" s="670">
        <v>21</v>
      </c>
      <c r="B41" s="843" t="s">
        <v>246</v>
      </c>
      <c r="C41" s="843"/>
      <c r="D41" s="843"/>
      <c r="E41" s="843"/>
      <c r="F41" s="843"/>
      <c r="G41" s="843"/>
      <c r="H41" s="843"/>
      <c r="I41" s="843"/>
      <c r="J41" s="843"/>
      <c r="K41" s="843"/>
      <c r="L41" s="843"/>
      <c r="M41" s="844"/>
    </row>
    <row r="42" spans="1:13" s="644" customFormat="1" ht="27" customHeight="1">
      <c r="A42" s="645">
        <v>22</v>
      </c>
      <c r="B42" s="671" t="s">
        <v>17</v>
      </c>
      <c r="C42" s="672" t="s">
        <v>243</v>
      </c>
      <c r="D42" s="673" t="s">
        <v>202</v>
      </c>
      <c r="E42" s="604">
        <v>4450</v>
      </c>
      <c r="F42" s="674" t="s">
        <v>155</v>
      </c>
      <c r="G42" s="675" t="s">
        <v>236</v>
      </c>
      <c r="H42" s="676">
        <v>1</v>
      </c>
      <c r="I42" s="676">
        <v>0</v>
      </c>
      <c r="J42" s="706">
        <v>41699</v>
      </c>
      <c r="K42" s="706">
        <v>42583</v>
      </c>
      <c r="L42" s="675" t="s">
        <v>199</v>
      </c>
      <c r="M42" s="677"/>
    </row>
    <row r="43" spans="1:13" s="644" customFormat="1" ht="21.75" customHeight="1">
      <c r="A43" s="645"/>
      <c r="B43" s="694" t="s">
        <v>18</v>
      </c>
      <c r="C43" s="648" t="s">
        <v>365</v>
      </c>
      <c r="D43" s="649" t="s">
        <v>278</v>
      </c>
      <c r="E43" s="731">
        <v>3625</v>
      </c>
      <c r="F43" s="641" t="s">
        <v>155</v>
      </c>
      <c r="G43" s="617" t="s">
        <v>237</v>
      </c>
      <c r="H43" s="642">
        <v>1</v>
      </c>
      <c r="I43" s="642">
        <v>0</v>
      </c>
      <c r="J43" s="636">
        <v>41791</v>
      </c>
      <c r="K43" s="636">
        <v>42461</v>
      </c>
      <c r="L43" s="641" t="s">
        <v>199</v>
      </c>
      <c r="M43" s="677"/>
    </row>
    <row r="44" spans="1:13" s="644" customFormat="1" ht="21" customHeight="1">
      <c r="A44" s="645"/>
      <c r="B44" s="751" t="s">
        <v>19</v>
      </c>
      <c r="C44" s="708" t="s">
        <v>370</v>
      </c>
      <c r="D44" s="707" t="s">
        <v>201</v>
      </c>
      <c r="E44" s="695">
        <v>1950</v>
      </c>
      <c r="F44" s="696" t="s">
        <v>155</v>
      </c>
      <c r="G44" s="696" t="s">
        <v>237</v>
      </c>
      <c r="H44" s="697">
        <v>1</v>
      </c>
      <c r="I44" s="697">
        <v>0</v>
      </c>
      <c r="J44" s="705">
        <v>41699</v>
      </c>
      <c r="K44" s="705">
        <v>42217</v>
      </c>
      <c r="L44" s="696" t="s">
        <v>199</v>
      </c>
      <c r="M44" s="698"/>
    </row>
    <row r="45" spans="1:13" s="644" customFormat="1" ht="21" customHeight="1">
      <c r="A45" s="645">
        <v>24</v>
      </c>
      <c r="B45" s="694" t="s">
        <v>317</v>
      </c>
      <c r="C45" s="648" t="s">
        <v>366</v>
      </c>
      <c r="D45" s="649" t="s">
        <v>216</v>
      </c>
      <c r="E45" s="731">
        <v>6100</v>
      </c>
      <c r="F45" s="641" t="s">
        <v>369</v>
      </c>
      <c r="G45" s="641" t="s">
        <v>237</v>
      </c>
      <c r="H45" s="642">
        <v>0</v>
      </c>
      <c r="I45" s="642">
        <v>1</v>
      </c>
      <c r="J45" s="636">
        <v>41183</v>
      </c>
      <c r="K45" s="636">
        <v>42370</v>
      </c>
      <c r="L45" s="641" t="s">
        <v>264</v>
      </c>
      <c r="M45" s="643"/>
    </row>
    <row r="46" spans="1:13" s="721" customFormat="1" ht="23.25" customHeight="1">
      <c r="A46" s="728"/>
      <c r="B46" s="752" t="s">
        <v>318</v>
      </c>
      <c r="C46" s="725" t="s">
        <v>386</v>
      </c>
      <c r="D46" s="726" t="s">
        <v>217</v>
      </c>
      <c r="E46" s="732">
        <v>15000</v>
      </c>
      <c r="F46" s="717" t="s">
        <v>155</v>
      </c>
      <c r="G46" s="717" t="s">
        <v>237</v>
      </c>
      <c r="H46" s="718">
        <v>0</v>
      </c>
      <c r="I46" s="718">
        <v>1</v>
      </c>
      <c r="J46" s="719">
        <v>41395</v>
      </c>
      <c r="K46" s="719">
        <v>41609</v>
      </c>
      <c r="L46" s="717" t="s">
        <v>383</v>
      </c>
      <c r="M46" s="730" t="s">
        <v>385</v>
      </c>
    </row>
    <row r="47" spans="1:13" s="644" customFormat="1" ht="23.25" customHeight="1">
      <c r="A47" s="645">
        <v>26</v>
      </c>
      <c r="B47" s="694" t="s">
        <v>319</v>
      </c>
      <c r="C47" s="679" t="s">
        <v>367</v>
      </c>
      <c r="D47" s="649" t="s">
        <v>218</v>
      </c>
      <c r="E47" s="731">
        <v>13360</v>
      </c>
      <c r="F47" s="641" t="s">
        <v>369</v>
      </c>
      <c r="G47" s="651" t="s">
        <v>237</v>
      </c>
      <c r="H47" s="680">
        <v>0</v>
      </c>
      <c r="I47" s="680">
        <v>1</v>
      </c>
      <c r="J47" s="636">
        <v>41068</v>
      </c>
      <c r="K47" s="636">
        <v>41944</v>
      </c>
      <c r="L47" s="651" t="s">
        <v>264</v>
      </c>
      <c r="M47" s="585"/>
    </row>
    <row r="48" spans="1:13" s="644" customFormat="1" ht="23.25" customHeight="1">
      <c r="A48" s="638">
        <v>27</v>
      </c>
      <c r="B48" s="694" t="s">
        <v>320</v>
      </c>
      <c r="C48" s="679" t="s">
        <v>368</v>
      </c>
      <c r="D48" s="649" t="s">
        <v>219</v>
      </c>
      <c r="E48" s="731">
        <v>15260</v>
      </c>
      <c r="F48" s="641" t="s">
        <v>369</v>
      </c>
      <c r="G48" s="641" t="s">
        <v>237</v>
      </c>
      <c r="H48" s="642">
        <v>0</v>
      </c>
      <c r="I48" s="642">
        <v>1</v>
      </c>
      <c r="J48" s="636">
        <v>41821</v>
      </c>
      <c r="K48" s="636">
        <v>42552</v>
      </c>
      <c r="L48" s="641" t="s">
        <v>199</v>
      </c>
      <c r="M48" s="585"/>
    </row>
    <row r="49" spans="1:13" s="644" customFormat="1" ht="23.25" customHeight="1">
      <c r="A49" s="645">
        <v>28</v>
      </c>
      <c r="B49" s="694" t="s">
        <v>321</v>
      </c>
      <c r="C49" s="679" t="s">
        <v>247</v>
      </c>
      <c r="D49" s="649" t="s">
        <v>220</v>
      </c>
      <c r="E49" s="731">
        <v>10640</v>
      </c>
      <c r="F49" s="641" t="s">
        <v>369</v>
      </c>
      <c r="G49" s="641" t="s">
        <v>237</v>
      </c>
      <c r="H49" s="642">
        <v>0</v>
      </c>
      <c r="I49" s="642">
        <v>1</v>
      </c>
      <c r="J49" s="652">
        <v>41395</v>
      </c>
      <c r="K49" s="636">
        <v>42217</v>
      </c>
      <c r="L49" s="641" t="s">
        <v>331</v>
      </c>
      <c r="M49" s="643"/>
    </row>
    <row r="50" spans="1:13" s="721" customFormat="1" ht="23.25" customHeight="1">
      <c r="A50" s="728"/>
      <c r="B50" s="752" t="s">
        <v>322</v>
      </c>
      <c r="C50" s="733" t="s">
        <v>387</v>
      </c>
      <c r="D50" s="726" t="s">
        <v>214</v>
      </c>
      <c r="E50" s="732">
        <v>4750</v>
      </c>
      <c r="F50" s="717" t="s">
        <v>155</v>
      </c>
      <c r="G50" s="717" t="s">
        <v>237</v>
      </c>
      <c r="H50" s="718">
        <v>0</v>
      </c>
      <c r="I50" s="718">
        <v>1</v>
      </c>
      <c r="J50" s="719">
        <v>41395</v>
      </c>
      <c r="K50" s="719">
        <v>41760</v>
      </c>
      <c r="L50" s="717" t="s">
        <v>383</v>
      </c>
      <c r="M50" s="730" t="s">
        <v>385</v>
      </c>
    </row>
    <row r="51" spans="1:13" s="644" customFormat="1" ht="21" customHeight="1">
      <c r="A51" s="645">
        <v>30</v>
      </c>
      <c r="B51" s="751" t="s">
        <v>323</v>
      </c>
      <c r="C51" s="681" t="s">
        <v>266</v>
      </c>
      <c r="D51" s="682" t="s">
        <v>253</v>
      </c>
      <c r="E51" s="616">
        <v>13700</v>
      </c>
      <c r="F51" s="683" t="s">
        <v>155</v>
      </c>
      <c r="G51" s="685" t="s">
        <v>237</v>
      </c>
      <c r="H51" s="684">
        <v>1</v>
      </c>
      <c r="I51" s="684">
        <v>0</v>
      </c>
      <c r="J51" s="693">
        <v>41944</v>
      </c>
      <c r="K51" s="693">
        <v>42795</v>
      </c>
      <c r="L51" s="683" t="s">
        <v>199</v>
      </c>
      <c r="M51" s="643"/>
    </row>
    <row r="52" spans="1:13" s="568" customFormat="1" ht="28.5" customHeight="1">
      <c r="A52" s="638">
        <v>33</v>
      </c>
      <c r="B52" s="578" t="s">
        <v>326</v>
      </c>
      <c r="C52" s="595"/>
      <c r="D52" s="596"/>
      <c r="E52" s="743">
        <f>SUM(E42:E51)-E50-E46</f>
        <v>69085</v>
      </c>
      <c r="F52" s="575"/>
      <c r="G52" s="576"/>
      <c r="H52" s="576"/>
      <c r="I52" s="576"/>
      <c r="J52" s="576"/>
      <c r="K52" s="576"/>
      <c r="L52" s="735"/>
      <c r="M52" s="577"/>
    </row>
    <row r="53" spans="1:13" s="568" customFormat="1" ht="26.25" customHeight="1">
      <c r="A53" s="645">
        <v>34</v>
      </c>
      <c r="B53" s="578" t="s">
        <v>248</v>
      </c>
      <c r="C53" s="595"/>
      <c r="D53" s="595"/>
      <c r="E53" s="743"/>
      <c r="F53" s="595"/>
      <c r="G53" s="595"/>
      <c r="H53" s="595"/>
      <c r="I53" s="595"/>
      <c r="J53" s="595"/>
      <c r="K53" s="595"/>
      <c r="L53" s="736"/>
      <c r="M53" s="596"/>
    </row>
    <row r="54" spans="1:13" s="721" customFormat="1" ht="25.5" customHeight="1">
      <c r="A54" s="634"/>
      <c r="B54" s="739" t="s">
        <v>22</v>
      </c>
      <c r="C54" s="747" t="s">
        <v>388</v>
      </c>
      <c r="D54" s="746" t="s">
        <v>195</v>
      </c>
      <c r="E54" s="732">
        <v>50</v>
      </c>
      <c r="F54" s="739" t="s">
        <v>106</v>
      </c>
      <c r="G54" s="739" t="s">
        <v>237</v>
      </c>
      <c r="H54" s="740">
        <v>1</v>
      </c>
      <c r="I54" s="740">
        <v>0</v>
      </c>
      <c r="J54" s="729">
        <v>41426</v>
      </c>
      <c r="K54" s="729">
        <v>41548</v>
      </c>
      <c r="L54" s="739" t="s">
        <v>383</v>
      </c>
      <c r="M54" s="730" t="s">
        <v>385</v>
      </c>
    </row>
    <row r="55" spans="1:13" s="704" customFormat="1" ht="33.75" customHeight="1">
      <c r="A55" s="700"/>
      <c r="B55" s="701" t="s">
        <v>151</v>
      </c>
      <c r="C55" s="708" t="s">
        <v>374</v>
      </c>
      <c r="D55" s="702" t="s">
        <v>201</v>
      </c>
      <c r="E55" s="613">
        <v>400</v>
      </c>
      <c r="F55" s="701" t="s">
        <v>106</v>
      </c>
      <c r="G55" s="685" t="s">
        <v>237</v>
      </c>
      <c r="H55" s="686">
        <v>1</v>
      </c>
      <c r="I55" s="686">
        <v>0</v>
      </c>
      <c r="J55" s="705">
        <v>41760</v>
      </c>
      <c r="K55" s="705">
        <v>42156</v>
      </c>
      <c r="L55" s="701" t="s">
        <v>199</v>
      </c>
      <c r="M55" s="703"/>
    </row>
    <row r="56" spans="1:13" s="644" customFormat="1" ht="24" customHeight="1">
      <c r="A56" s="638">
        <v>35</v>
      </c>
      <c r="B56" s="699" t="s">
        <v>300</v>
      </c>
      <c r="C56" s="687" t="s">
        <v>249</v>
      </c>
      <c r="D56" s="688" t="s">
        <v>241</v>
      </c>
      <c r="E56" s="616">
        <v>2500</v>
      </c>
      <c r="F56" s="683" t="s">
        <v>106</v>
      </c>
      <c r="G56" s="685" t="s">
        <v>237</v>
      </c>
      <c r="H56" s="684">
        <v>1</v>
      </c>
      <c r="I56" s="684">
        <v>0</v>
      </c>
      <c r="J56" s="693">
        <v>41671</v>
      </c>
      <c r="K56" s="693">
        <v>41821</v>
      </c>
      <c r="L56" s="683" t="s">
        <v>199</v>
      </c>
      <c r="M56" s="643"/>
    </row>
    <row r="57" spans="1:13" s="678" customFormat="1" ht="22.5" customHeight="1">
      <c r="A57" s="645">
        <v>36</v>
      </c>
      <c r="B57" s="699" t="s">
        <v>301</v>
      </c>
      <c r="C57" s="687" t="s">
        <v>372</v>
      </c>
      <c r="D57" s="688" t="s">
        <v>279</v>
      </c>
      <c r="E57" s="616">
        <v>675</v>
      </c>
      <c r="F57" s="683" t="s">
        <v>106</v>
      </c>
      <c r="G57" s="683" t="s">
        <v>237</v>
      </c>
      <c r="H57" s="684">
        <v>1</v>
      </c>
      <c r="I57" s="684">
        <v>0</v>
      </c>
      <c r="J57" s="693">
        <v>41791</v>
      </c>
      <c r="K57" s="693">
        <v>41944</v>
      </c>
      <c r="L57" s="683" t="s">
        <v>199</v>
      </c>
      <c r="M57" s="643"/>
    </row>
    <row r="58" spans="1:13" s="690" customFormat="1" ht="36" customHeight="1">
      <c r="A58" s="638">
        <v>37</v>
      </c>
      <c r="B58" s="699" t="s">
        <v>302</v>
      </c>
      <c r="C58" s="687" t="s">
        <v>373</v>
      </c>
      <c r="D58" s="682" t="s">
        <v>253</v>
      </c>
      <c r="E58" s="616">
        <v>2410</v>
      </c>
      <c r="F58" s="683" t="s">
        <v>106</v>
      </c>
      <c r="G58" s="683" t="s">
        <v>237</v>
      </c>
      <c r="H58" s="684">
        <v>1</v>
      </c>
      <c r="I58" s="684">
        <v>0</v>
      </c>
      <c r="J58" s="693">
        <v>41944</v>
      </c>
      <c r="K58" s="693">
        <v>42095</v>
      </c>
      <c r="L58" s="683" t="s">
        <v>199</v>
      </c>
      <c r="M58" s="689"/>
    </row>
    <row r="59" spans="1:13" s="678" customFormat="1" ht="39" customHeight="1">
      <c r="A59" s="645">
        <v>38</v>
      </c>
      <c r="B59" s="699" t="s">
        <v>371</v>
      </c>
      <c r="C59" s="681" t="s">
        <v>281</v>
      </c>
      <c r="D59" s="682" t="s">
        <v>229</v>
      </c>
      <c r="E59" s="745">
        <v>1000</v>
      </c>
      <c r="F59" s="685" t="s">
        <v>106</v>
      </c>
      <c r="G59" s="685" t="s">
        <v>237</v>
      </c>
      <c r="H59" s="686">
        <v>1</v>
      </c>
      <c r="I59" s="686">
        <v>0</v>
      </c>
      <c r="J59" s="693">
        <v>41791</v>
      </c>
      <c r="K59" s="693">
        <v>42278</v>
      </c>
      <c r="L59" s="737" t="s">
        <v>199</v>
      </c>
      <c r="M59" s="585"/>
    </row>
    <row r="60" spans="1:13" s="644" customFormat="1" ht="26.25" customHeight="1">
      <c r="A60" s="638">
        <v>39</v>
      </c>
      <c r="B60" s="699" t="s">
        <v>389</v>
      </c>
      <c r="C60" s="681" t="s">
        <v>375</v>
      </c>
      <c r="D60" s="682" t="s">
        <v>355</v>
      </c>
      <c r="E60" s="613">
        <v>105</v>
      </c>
      <c r="F60" s="685" t="s">
        <v>106</v>
      </c>
      <c r="G60" s="685" t="s">
        <v>237</v>
      </c>
      <c r="H60" s="686">
        <v>1</v>
      </c>
      <c r="I60" s="686">
        <v>0</v>
      </c>
      <c r="J60" s="693">
        <v>41730</v>
      </c>
      <c r="K60" s="693">
        <v>41852</v>
      </c>
      <c r="L60" s="685" t="s">
        <v>199</v>
      </c>
      <c r="M60" s="585"/>
    </row>
    <row r="61" spans="1:13" s="568" customFormat="1" ht="27.75" customHeight="1">
      <c r="A61" s="645">
        <v>40</v>
      </c>
      <c r="B61" s="578" t="s">
        <v>327</v>
      </c>
      <c r="C61" s="595"/>
      <c r="D61" s="596"/>
      <c r="E61" s="570">
        <f>SUM(E54:E60)-E54</f>
        <v>7090</v>
      </c>
      <c r="F61" s="575"/>
      <c r="G61" s="576"/>
      <c r="H61" s="576"/>
      <c r="I61" s="576"/>
      <c r="J61" s="576"/>
      <c r="K61" s="576"/>
      <c r="L61" s="735"/>
      <c r="M61" s="577"/>
    </row>
    <row r="62" spans="1:13" s="568" customFormat="1" ht="30.75" customHeight="1">
      <c r="A62" s="638">
        <v>41</v>
      </c>
      <c r="B62" s="578" t="s">
        <v>250</v>
      </c>
      <c r="C62" s="595"/>
      <c r="D62" s="595"/>
      <c r="E62" s="595"/>
      <c r="F62" s="595"/>
      <c r="G62" s="595"/>
      <c r="H62" s="595"/>
      <c r="I62" s="595"/>
      <c r="J62" s="595"/>
      <c r="K62" s="595"/>
      <c r="L62" s="736"/>
      <c r="M62" s="596"/>
    </row>
    <row r="63" spans="1:13" s="721" customFormat="1" ht="28.5" customHeight="1">
      <c r="A63" s="728">
        <v>42</v>
      </c>
      <c r="B63" s="741" t="s">
        <v>26</v>
      </c>
      <c r="C63" s="725" t="s">
        <v>251</v>
      </c>
      <c r="D63" s="742" t="s">
        <v>22</v>
      </c>
      <c r="E63" s="717">
        <v>600</v>
      </c>
      <c r="F63" s="727" t="s">
        <v>105</v>
      </c>
      <c r="G63" s="727" t="s">
        <v>237</v>
      </c>
      <c r="H63" s="718">
        <v>1</v>
      </c>
      <c r="I63" s="718">
        <v>0</v>
      </c>
      <c r="J63" s="719">
        <v>41548</v>
      </c>
      <c r="K63" s="719">
        <v>43586</v>
      </c>
      <c r="L63" s="717" t="s">
        <v>199</v>
      </c>
      <c r="M63" s="720" t="s">
        <v>390</v>
      </c>
    </row>
    <row r="64" spans="1:13" s="568" customFormat="1" ht="25.5" customHeight="1">
      <c r="A64" s="638">
        <v>43</v>
      </c>
      <c r="B64" s="578" t="s">
        <v>267</v>
      </c>
      <c r="C64" s="595"/>
      <c r="D64" s="595"/>
      <c r="E64" s="569">
        <v>0</v>
      </c>
      <c r="F64" s="575"/>
      <c r="G64" s="576"/>
      <c r="H64" s="576"/>
      <c r="I64" s="576"/>
      <c r="J64" s="576"/>
      <c r="K64" s="576"/>
      <c r="L64" s="735"/>
      <c r="M64" s="577"/>
    </row>
    <row r="65" spans="1:13" s="568" customFormat="1" ht="27.75" customHeight="1">
      <c r="A65" s="645">
        <v>44</v>
      </c>
      <c r="B65" s="578" t="s">
        <v>268</v>
      </c>
      <c r="C65" s="589"/>
      <c r="D65" s="583"/>
      <c r="E65" s="744">
        <f>SUM(E64,E61,E52,E40)</f>
        <v>106759.3</v>
      </c>
      <c r="F65" s="578"/>
      <c r="G65" s="595"/>
      <c r="H65" s="595"/>
      <c r="I65" s="595"/>
      <c r="J65" s="595"/>
      <c r="K65" s="595"/>
      <c r="L65" s="738"/>
      <c r="M65" s="596"/>
    </row>
    <row r="66" spans="1:13" s="568" customFormat="1" ht="24.75" customHeight="1">
      <c r="A66" s="638">
        <v>45</v>
      </c>
      <c r="B66" s="578" t="s">
        <v>269</v>
      </c>
      <c r="C66" s="589"/>
      <c r="D66" s="583"/>
      <c r="E66" s="571">
        <v>100</v>
      </c>
      <c r="F66" s="575"/>
      <c r="G66" s="576"/>
      <c r="H66" s="576"/>
      <c r="I66" s="576"/>
      <c r="J66" s="576"/>
      <c r="K66" s="576"/>
      <c r="L66" s="735"/>
      <c r="M66" s="597"/>
    </row>
    <row r="67" spans="1:13" ht="29.25" customHeight="1" thickBot="1">
      <c r="B67" s="761"/>
      <c r="C67" s="838" t="s">
        <v>303</v>
      </c>
      <c r="D67" s="838"/>
      <c r="E67" s="839"/>
      <c r="F67" s="839"/>
      <c r="G67" s="839"/>
      <c r="H67" s="839"/>
      <c r="I67" s="839"/>
      <c r="J67" s="839"/>
      <c r="K67" s="839"/>
      <c r="L67" s="839"/>
      <c r="M67" s="839"/>
    </row>
    <row r="68" spans="1:13" ht="66.75" customHeight="1">
      <c r="B68" s="618" t="s">
        <v>304</v>
      </c>
      <c r="C68" s="840" t="s">
        <v>346</v>
      </c>
      <c r="D68" s="840"/>
      <c r="E68" s="841"/>
      <c r="F68" s="841"/>
      <c r="G68" s="841"/>
      <c r="H68" s="841"/>
      <c r="I68" s="841"/>
      <c r="J68" s="841"/>
      <c r="K68" s="841"/>
      <c r="L68" s="841"/>
      <c r="M68" s="841"/>
    </row>
    <row r="69" spans="1:13" ht="10.5" customHeight="1">
      <c r="B69" s="618"/>
      <c r="C69" s="619"/>
      <c r="D69" s="619"/>
      <c r="E69" s="620"/>
      <c r="F69" s="620"/>
      <c r="G69" s="620"/>
      <c r="H69" s="620"/>
      <c r="I69" s="620"/>
      <c r="J69" s="620"/>
      <c r="K69" s="620"/>
      <c r="L69" s="691"/>
      <c r="M69" s="620"/>
    </row>
    <row r="70" spans="1:13" ht="18" customHeight="1">
      <c r="B70" s="621" t="s">
        <v>305</v>
      </c>
      <c r="C70" s="842" t="s">
        <v>347</v>
      </c>
      <c r="D70" s="842"/>
      <c r="E70" s="842"/>
      <c r="F70" s="622"/>
      <c r="G70" s="622"/>
      <c r="H70" s="623"/>
      <c r="I70" s="623"/>
      <c r="J70" s="624"/>
      <c r="K70" s="624"/>
      <c r="L70" s="623"/>
      <c r="M70" s="623"/>
    </row>
    <row r="71" spans="1:13" ht="10.5" customHeight="1">
      <c r="B71" s="621"/>
      <c r="C71" s="625"/>
      <c r="D71" s="626"/>
      <c r="E71" s="626"/>
      <c r="F71" s="622"/>
      <c r="G71" s="622"/>
      <c r="H71" s="623"/>
      <c r="I71" s="623"/>
      <c r="J71" s="624"/>
      <c r="K71" s="624"/>
      <c r="L71" s="623"/>
      <c r="M71" s="623"/>
    </row>
    <row r="72" spans="1:13" ht="18" customHeight="1">
      <c r="B72" s="621" t="s">
        <v>306</v>
      </c>
      <c r="C72" s="627" t="s">
        <v>348</v>
      </c>
      <c r="D72" s="622"/>
      <c r="E72" s="622"/>
      <c r="F72" s="622"/>
      <c r="G72" s="622"/>
      <c r="H72" s="623"/>
      <c r="I72" s="623"/>
      <c r="J72" s="624"/>
      <c r="K72" s="624"/>
      <c r="L72" s="623"/>
      <c r="M72" s="623"/>
    </row>
    <row r="73" spans="1:13" ht="10.5" customHeight="1">
      <c r="B73" s="621"/>
      <c r="C73" s="627"/>
      <c r="D73" s="622"/>
      <c r="E73" s="622"/>
      <c r="F73" s="622"/>
      <c r="G73" s="622"/>
      <c r="H73" s="623"/>
      <c r="I73" s="623"/>
      <c r="J73" s="624"/>
      <c r="K73" s="624"/>
      <c r="L73" s="623"/>
      <c r="M73" s="623"/>
    </row>
    <row r="74" spans="1:13" ht="18" customHeight="1">
      <c r="B74" s="621" t="s">
        <v>307</v>
      </c>
      <c r="C74" s="628" t="s">
        <v>349</v>
      </c>
      <c r="D74" s="629"/>
      <c r="E74" s="629"/>
      <c r="F74" s="629"/>
      <c r="G74" s="624"/>
      <c r="H74" s="624"/>
      <c r="I74" s="623"/>
      <c r="J74" s="623"/>
      <c r="K74" s="630"/>
      <c r="L74" s="630"/>
      <c r="M74" s="630"/>
    </row>
    <row r="75" spans="1:13" ht="10.5" customHeight="1">
      <c r="B75" s="621"/>
      <c r="C75" s="628"/>
      <c r="D75" s="629"/>
      <c r="E75" s="629"/>
      <c r="F75" s="629"/>
      <c r="G75" s="624"/>
      <c r="H75" s="624"/>
      <c r="I75" s="623"/>
      <c r="J75" s="623"/>
      <c r="K75" s="630"/>
      <c r="L75" s="630"/>
      <c r="M75" s="630"/>
    </row>
    <row r="76" spans="1:13" ht="15.75">
      <c r="B76" s="621" t="s">
        <v>308</v>
      </c>
      <c r="C76" s="628" t="s">
        <v>350</v>
      </c>
      <c r="D76" s="629"/>
      <c r="E76" s="629"/>
      <c r="F76" s="629"/>
      <c r="G76" s="624"/>
      <c r="H76" s="624"/>
      <c r="I76" s="623"/>
      <c r="J76" s="623"/>
      <c r="K76" s="631"/>
      <c r="L76" s="630"/>
      <c r="M76" s="630"/>
    </row>
    <row r="77" spans="1:13" ht="10.5" customHeight="1">
      <c r="B77" s="621"/>
      <c r="C77" s="628"/>
      <c r="D77" s="629"/>
      <c r="E77" s="629"/>
      <c r="F77" s="632"/>
      <c r="G77" s="632"/>
      <c r="H77" s="623"/>
      <c r="I77" s="623"/>
      <c r="J77" s="631"/>
      <c r="K77" s="631"/>
      <c r="L77" s="630"/>
      <c r="M77" s="630"/>
    </row>
    <row r="78" spans="1:13" ht="15.75">
      <c r="B78" s="621" t="s">
        <v>309</v>
      </c>
      <c r="C78" s="628" t="s">
        <v>351</v>
      </c>
      <c r="D78" s="629"/>
      <c r="E78" s="629"/>
      <c r="F78" s="632"/>
      <c r="G78" s="632"/>
      <c r="H78" s="622"/>
      <c r="I78" s="623"/>
      <c r="J78" s="631"/>
      <c r="K78" s="631"/>
      <c r="L78" s="630"/>
      <c r="M78" s="630"/>
    </row>
    <row r="79" spans="1:13" ht="10.5" customHeight="1">
      <c r="B79" s="621"/>
      <c r="C79" s="628"/>
      <c r="D79" s="629"/>
      <c r="E79" s="629"/>
      <c r="F79" s="632"/>
      <c r="G79" s="632"/>
      <c r="H79" s="623"/>
      <c r="I79" s="623"/>
      <c r="J79" s="631"/>
      <c r="K79" s="631"/>
      <c r="L79" s="630"/>
      <c r="M79" s="630"/>
    </row>
    <row r="80" spans="1:13" ht="30.75">
      <c r="B80" s="621" t="s">
        <v>310</v>
      </c>
      <c r="C80" s="627" t="s">
        <v>352</v>
      </c>
      <c r="D80" s="622"/>
      <c r="E80" s="622"/>
      <c r="F80" s="622"/>
      <c r="G80" s="622"/>
      <c r="H80" s="622"/>
      <c r="I80" s="622"/>
      <c r="J80" s="631"/>
      <c r="K80" s="631"/>
      <c r="L80" s="630"/>
      <c r="M80" s="630"/>
    </row>
    <row r="81" spans="2:13" ht="10.5" customHeight="1">
      <c r="B81" s="630"/>
      <c r="C81" s="633"/>
      <c r="D81" s="630"/>
      <c r="E81" s="600"/>
      <c r="F81" s="630"/>
      <c r="G81" s="630"/>
      <c r="H81" s="630"/>
      <c r="I81" s="630"/>
      <c r="J81" s="631"/>
      <c r="K81" s="631"/>
      <c r="L81" s="630"/>
      <c r="M81" s="630"/>
    </row>
    <row r="82" spans="2:13" ht="15.75">
      <c r="B82" s="621" t="s">
        <v>311</v>
      </c>
      <c r="C82" s="633" t="s">
        <v>353</v>
      </c>
      <c r="D82" s="630"/>
      <c r="E82" s="600"/>
      <c r="F82" s="630"/>
      <c r="G82" s="630"/>
      <c r="H82" s="630"/>
      <c r="I82" s="630"/>
      <c r="J82" s="631"/>
      <c r="K82" s="631"/>
      <c r="L82" s="630"/>
      <c r="M82" s="630"/>
    </row>
    <row r="83" spans="2:13" ht="4.5" customHeight="1">
      <c r="B83" s="580"/>
      <c r="C83" s="590"/>
      <c r="D83" s="584"/>
      <c r="E83" s="566"/>
    </row>
  </sheetData>
  <autoFilter ref="B10:M66"/>
  <sortState ref="A13:M57">
    <sortCondition ref="A13:A57"/>
  </sortState>
  <mergeCells count="20">
    <mergeCell ref="C68:M68"/>
    <mergeCell ref="C70:E70"/>
    <mergeCell ref="B41:M41"/>
    <mergeCell ref="B1:M1"/>
    <mergeCell ref="B2:M2"/>
    <mergeCell ref="B3:M3"/>
    <mergeCell ref="B4:M4"/>
    <mergeCell ref="L8:L10"/>
    <mergeCell ref="B8:B10"/>
    <mergeCell ref="M8:M10"/>
    <mergeCell ref="D8:D10"/>
    <mergeCell ref="C8:C10"/>
    <mergeCell ref="E8:E10"/>
    <mergeCell ref="F8:F10"/>
    <mergeCell ref="G8:G10"/>
    <mergeCell ref="J9:J10"/>
    <mergeCell ref="K9:K10"/>
    <mergeCell ref="H9:H10"/>
    <mergeCell ref="I9:I10"/>
    <mergeCell ref="C67:M67"/>
  </mergeCells>
  <printOptions horizontalCentered="1"/>
  <pageMargins left="0.19685039370078741" right="0.15748031496062992" top="0.47244094488188981" bottom="0.23622047244094491" header="0.31496062992125984" footer="0.15748031496062992"/>
  <pageSetup paperSize="9" scale="45" fitToHeight="2" orientation="landscape" r:id="rId1"/>
  <rowBreaks count="1" manualBreakCount="1">
    <brk id="40" min="1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  <pageSetUpPr fitToPage="1"/>
  </sheetPr>
  <dimension ref="A1:BV112"/>
  <sheetViews>
    <sheetView topLeftCell="H1" zoomScale="95" zoomScaleNormal="95" workbookViewId="0">
      <pane ySplit="5" topLeftCell="A33" activePane="bottomLeft" state="frozen"/>
      <selection pane="bottomLeft" activeCell="Q37" sqref="Q37:AE37"/>
    </sheetView>
  </sheetViews>
  <sheetFormatPr defaultRowHeight="15" customHeight="1"/>
  <cols>
    <col min="1" max="1" width="4.5703125" style="113" customWidth="1"/>
    <col min="2" max="2" width="2.42578125" style="113" customWidth="1"/>
    <col min="3" max="3" width="2.28515625" style="113" customWidth="1"/>
    <col min="4" max="4" width="54.28515625" style="130" customWidth="1"/>
    <col min="5" max="5" width="7.85546875" style="131" hidden="1" customWidth="1"/>
    <col min="6" max="6" width="9.140625" style="131" hidden="1" customWidth="1"/>
    <col min="7" max="7" width="10.42578125" style="113" hidden="1" customWidth="1"/>
    <col min="8" max="11" width="4.7109375" style="485" customWidth="1"/>
    <col min="12" max="31" width="4.7109375" style="112" customWidth="1"/>
    <col min="32" max="32" width="11.140625" style="112" customWidth="1"/>
    <col min="33" max="33" width="10.85546875" style="113" bestFit="1" customWidth="1"/>
    <col min="34" max="42" width="9.140625" style="144"/>
    <col min="43" max="16384" width="9.140625" style="113"/>
  </cols>
  <sheetData>
    <row r="1" spans="1:42" s="108" customFormat="1" ht="16.5" customHeight="1">
      <c r="A1" s="103" t="s">
        <v>62</v>
      </c>
      <c r="B1" s="103"/>
      <c r="C1" s="103"/>
      <c r="D1" s="104"/>
      <c r="E1" s="103"/>
      <c r="F1" s="105"/>
      <c r="G1" s="106"/>
      <c r="H1" s="484"/>
      <c r="I1" s="484"/>
      <c r="J1" s="484"/>
      <c r="K1" s="484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H1" s="143"/>
      <c r="AI1" s="143"/>
      <c r="AJ1" s="143"/>
      <c r="AK1" s="143"/>
      <c r="AL1" s="143"/>
      <c r="AM1" s="143"/>
      <c r="AN1" s="143"/>
      <c r="AO1" s="143"/>
      <c r="AP1" s="143"/>
    </row>
    <row r="2" spans="1:42" ht="15" customHeight="1" thickBot="1">
      <c r="A2" s="109"/>
      <c r="B2" s="109"/>
      <c r="C2" s="109"/>
      <c r="D2" s="110"/>
      <c r="E2" s="111"/>
      <c r="F2" s="111"/>
      <c r="G2" s="109"/>
    </row>
    <row r="3" spans="1:42" ht="15" customHeight="1" thickBot="1">
      <c r="A3" s="809" t="s">
        <v>29</v>
      </c>
      <c r="B3" s="810"/>
      <c r="C3" s="810"/>
      <c r="D3" s="811"/>
      <c r="E3" s="856" t="s">
        <v>30</v>
      </c>
      <c r="F3" s="856" t="s">
        <v>31</v>
      </c>
      <c r="G3" s="114" t="s">
        <v>32</v>
      </c>
      <c r="H3" s="821" t="s">
        <v>65</v>
      </c>
      <c r="I3" s="821"/>
      <c r="J3" s="821"/>
      <c r="K3" s="821"/>
      <c r="L3" s="821"/>
      <c r="M3" s="821"/>
      <c r="N3" s="821"/>
      <c r="O3" s="821"/>
      <c r="P3" s="821"/>
      <c r="Q3" s="821"/>
      <c r="R3" s="821"/>
      <c r="S3" s="821"/>
      <c r="T3" s="821"/>
      <c r="U3" s="821"/>
      <c r="V3" s="821"/>
      <c r="W3" s="821"/>
      <c r="X3" s="821"/>
      <c r="Y3" s="821"/>
      <c r="Z3" s="821"/>
      <c r="AA3" s="821"/>
      <c r="AB3" s="821"/>
      <c r="AC3" s="821"/>
      <c r="AD3" s="821"/>
      <c r="AE3" s="821"/>
      <c r="AF3" s="494"/>
    </row>
    <row r="4" spans="1:42" ht="15" customHeight="1" thickBot="1">
      <c r="A4" s="812"/>
      <c r="B4" s="813"/>
      <c r="C4" s="813"/>
      <c r="D4" s="814"/>
      <c r="E4" s="857"/>
      <c r="F4" s="857"/>
      <c r="G4" s="115"/>
      <c r="H4" s="851">
        <v>2013</v>
      </c>
      <c r="I4" s="851"/>
      <c r="J4" s="801">
        <v>2014</v>
      </c>
      <c r="K4" s="801"/>
      <c r="L4" s="801"/>
      <c r="M4" s="802"/>
      <c r="N4" s="801">
        <v>2015</v>
      </c>
      <c r="O4" s="801"/>
      <c r="P4" s="801"/>
      <c r="Q4" s="802"/>
      <c r="R4" s="801">
        <v>2016</v>
      </c>
      <c r="S4" s="801"/>
      <c r="T4" s="801"/>
      <c r="U4" s="802"/>
      <c r="V4" s="801">
        <v>2017</v>
      </c>
      <c r="W4" s="801"/>
      <c r="X4" s="801"/>
      <c r="Y4" s="802"/>
      <c r="Z4" s="801">
        <v>2018</v>
      </c>
      <c r="AA4" s="801"/>
      <c r="AB4" s="801"/>
      <c r="AC4" s="802"/>
      <c r="AD4" s="801">
        <v>2019</v>
      </c>
      <c r="AE4" s="802"/>
      <c r="AF4" s="495" t="s">
        <v>8</v>
      </c>
      <c r="AG4" s="311" t="s">
        <v>108</v>
      </c>
    </row>
    <row r="5" spans="1:42" ht="15" customHeight="1" thickBot="1">
      <c r="A5" s="815"/>
      <c r="B5" s="816"/>
      <c r="C5" s="816"/>
      <c r="D5" s="817"/>
      <c r="E5" s="858"/>
      <c r="F5" s="858"/>
      <c r="G5" s="116" t="s">
        <v>35</v>
      </c>
      <c r="H5" s="486">
        <v>1</v>
      </c>
      <c r="I5" s="488">
        <v>2</v>
      </c>
      <c r="J5" s="486">
        <v>3</v>
      </c>
      <c r="K5" s="486">
        <v>4</v>
      </c>
      <c r="L5" s="314">
        <v>5</v>
      </c>
      <c r="M5" s="315">
        <v>6</v>
      </c>
      <c r="N5" s="314">
        <v>7</v>
      </c>
      <c r="O5" s="314">
        <v>8</v>
      </c>
      <c r="P5" s="316">
        <v>9</v>
      </c>
      <c r="Q5" s="317">
        <v>10</v>
      </c>
      <c r="R5" s="316">
        <v>11</v>
      </c>
      <c r="S5" s="316">
        <v>12</v>
      </c>
      <c r="T5" s="312">
        <v>13</v>
      </c>
      <c r="U5" s="313">
        <v>14</v>
      </c>
      <c r="V5" s="318">
        <v>15</v>
      </c>
      <c r="W5" s="318">
        <v>16</v>
      </c>
      <c r="X5" s="319">
        <v>17</v>
      </c>
      <c r="Y5" s="320">
        <v>18</v>
      </c>
      <c r="Z5" s="319">
        <v>19</v>
      </c>
      <c r="AA5" s="319">
        <v>20</v>
      </c>
      <c r="AB5" s="321">
        <v>21</v>
      </c>
      <c r="AC5" s="321">
        <v>22</v>
      </c>
      <c r="AD5" s="322">
        <v>23</v>
      </c>
      <c r="AE5" s="369">
        <v>24</v>
      </c>
      <c r="AF5" s="502"/>
    </row>
    <row r="6" spans="1:42" s="119" customFormat="1" ht="15" customHeight="1">
      <c r="A6" s="179" t="s">
        <v>37</v>
      </c>
      <c r="B6" s="850" t="s">
        <v>13</v>
      </c>
      <c r="C6" s="804"/>
      <c r="D6" s="805"/>
      <c r="E6" s="266"/>
      <c r="F6" s="266"/>
      <c r="G6" s="267"/>
      <c r="H6" s="487"/>
      <c r="I6" s="489"/>
      <c r="J6" s="487"/>
      <c r="K6" s="487"/>
      <c r="L6" s="117"/>
      <c r="M6" s="118"/>
      <c r="N6" s="117"/>
      <c r="O6" s="117"/>
      <c r="P6" s="117"/>
      <c r="Q6" s="118"/>
      <c r="R6" s="117"/>
      <c r="S6" s="117"/>
      <c r="T6" s="117"/>
      <c r="U6" s="118"/>
      <c r="V6" s="117"/>
      <c r="W6" s="117"/>
      <c r="X6" s="117"/>
      <c r="Y6" s="118"/>
      <c r="Z6" s="117"/>
      <c r="AA6" s="117"/>
      <c r="AB6" s="139"/>
      <c r="AC6" s="118"/>
      <c r="AD6" s="117"/>
      <c r="AE6" s="139"/>
      <c r="AF6" s="126"/>
      <c r="AH6" s="145"/>
      <c r="AI6" s="145"/>
      <c r="AJ6" s="145"/>
      <c r="AK6" s="145"/>
      <c r="AL6" s="145"/>
      <c r="AM6" s="145"/>
      <c r="AN6" s="145"/>
      <c r="AO6" s="145"/>
      <c r="AP6" s="145"/>
    </row>
    <row r="7" spans="1:42" s="122" customFormat="1" ht="15" customHeight="1">
      <c r="A7" s="268" t="s">
        <v>14</v>
      </c>
      <c r="B7" s="852" t="s">
        <v>38</v>
      </c>
      <c r="C7" s="807"/>
      <c r="D7" s="808"/>
      <c r="E7" s="269"/>
      <c r="F7" s="269"/>
      <c r="G7" s="270"/>
      <c r="H7" s="120"/>
      <c r="I7" s="121"/>
      <c r="J7" s="120"/>
      <c r="K7" s="120"/>
      <c r="L7" s="259"/>
      <c r="M7" s="260"/>
      <c r="N7" s="259"/>
      <c r="O7" s="259"/>
      <c r="P7" s="259"/>
      <c r="Q7" s="260"/>
      <c r="R7" s="259"/>
      <c r="S7" s="259"/>
      <c r="T7" s="259"/>
      <c r="U7" s="260"/>
      <c r="V7" s="259"/>
      <c r="W7" s="259"/>
      <c r="X7" s="259"/>
      <c r="Y7" s="260"/>
      <c r="Z7" s="259"/>
      <c r="AA7" s="259"/>
      <c r="AB7" s="261"/>
      <c r="AC7" s="260"/>
      <c r="AD7" s="259"/>
      <c r="AE7" s="261"/>
      <c r="AF7" s="262"/>
      <c r="AH7" s="128"/>
      <c r="AI7" s="128"/>
      <c r="AJ7" s="128"/>
      <c r="AK7" s="128"/>
      <c r="AL7" s="128"/>
      <c r="AM7" s="128"/>
      <c r="AN7" s="128"/>
      <c r="AO7" s="128"/>
      <c r="AP7" s="128"/>
    </row>
    <row r="8" spans="1:42" s="122" customFormat="1" ht="15" customHeight="1">
      <c r="A8" s="271"/>
      <c r="B8" s="187"/>
      <c r="C8" s="187"/>
      <c r="D8" s="188" t="s">
        <v>67</v>
      </c>
      <c r="E8" s="272" t="s">
        <v>39</v>
      </c>
      <c r="F8" s="273">
        <v>36</v>
      </c>
      <c r="G8" s="274">
        <v>75000</v>
      </c>
      <c r="H8" s="120"/>
      <c r="I8" s="121">
        <v>0.08</v>
      </c>
      <c r="J8" s="120">
        <v>0.06</v>
      </c>
      <c r="K8" s="120">
        <v>0.06</v>
      </c>
      <c r="L8" s="146">
        <v>0.06</v>
      </c>
      <c r="M8" s="146">
        <v>0.06</v>
      </c>
      <c r="N8" s="146">
        <v>0.06</v>
      </c>
      <c r="O8" s="146">
        <v>0.06</v>
      </c>
      <c r="P8" s="146">
        <v>0.06</v>
      </c>
      <c r="Q8" s="146">
        <v>0.06</v>
      </c>
      <c r="R8" s="146">
        <v>0.06</v>
      </c>
      <c r="S8" s="146">
        <v>0.05</v>
      </c>
      <c r="T8" s="146">
        <v>0.05</v>
      </c>
      <c r="U8" s="146">
        <v>0.04</v>
      </c>
      <c r="V8" s="146">
        <v>0.03</v>
      </c>
      <c r="W8" s="146">
        <v>0.03</v>
      </c>
      <c r="X8" s="146">
        <v>0.03</v>
      </c>
      <c r="Y8" s="146">
        <v>0.03</v>
      </c>
      <c r="Z8" s="146">
        <v>0.02</v>
      </c>
      <c r="AA8" s="146">
        <v>0.02</v>
      </c>
      <c r="AB8" s="146">
        <v>0.02</v>
      </c>
      <c r="AC8" s="146">
        <v>0.02</v>
      </c>
      <c r="AD8" s="146">
        <v>0.02</v>
      </c>
      <c r="AE8" s="496">
        <v>0.02</v>
      </c>
      <c r="AF8" s="148"/>
      <c r="AG8" s="150">
        <f t="shared" ref="AG8:AG40" si="0">SUM(H8:AE8)</f>
        <v>1.0000000000000004</v>
      </c>
      <c r="AH8" s="150">
        <f t="shared" ref="AH8:AH52" si="1">1-AG8</f>
        <v>0</v>
      </c>
      <c r="AI8" s="128"/>
      <c r="AJ8" s="128"/>
      <c r="AK8" s="128"/>
      <c r="AL8" s="128"/>
      <c r="AM8" s="128"/>
      <c r="AN8" s="128"/>
      <c r="AO8" s="128"/>
      <c r="AP8" s="128"/>
    </row>
    <row r="9" spans="1:42" s="124" customFormat="1" ht="15" customHeight="1">
      <c r="A9" s="271"/>
      <c r="B9" s="187"/>
      <c r="C9" s="187"/>
      <c r="D9" s="188" t="s">
        <v>66</v>
      </c>
      <c r="E9" s="275" t="s">
        <v>39</v>
      </c>
      <c r="F9" s="276">
        <v>42</v>
      </c>
      <c r="G9" s="277">
        <v>25000</v>
      </c>
      <c r="H9" s="123"/>
      <c r="I9" s="121"/>
      <c r="J9" s="123">
        <v>0.5</v>
      </c>
      <c r="K9" s="123">
        <v>0.5</v>
      </c>
      <c r="L9" s="123"/>
      <c r="M9" s="121"/>
      <c r="N9" s="123"/>
      <c r="O9" s="123"/>
      <c r="P9" s="123"/>
      <c r="Q9" s="121"/>
      <c r="R9" s="123"/>
      <c r="S9" s="123"/>
      <c r="T9" s="123"/>
      <c r="U9" s="121"/>
      <c r="V9" s="123"/>
      <c r="W9" s="123"/>
      <c r="X9" s="123"/>
      <c r="Y9" s="121"/>
      <c r="Z9" s="123"/>
      <c r="AA9" s="123"/>
      <c r="AB9" s="140"/>
      <c r="AC9" s="125"/>
      <c r="AD9" s="123"/>
      <c r="AE9" s="140"/>
      <c r="AF9" s="123"/>
      <c r="AG9" s="150">
        <f t="shared" si="0"/>
        <v>1</v>
      </c>
      <c r="AH9" s="150">
        <f t="shared" si="1"/>
        <v>0</v>
      </c>
      <c r="AI9" s="128"/>
      <c r="AJ9" s="128"/>
      <c r="AK9" s="128"/>
      <c r="AL9" s="128"/>
      <c r="AM9" s="128"/>
      <c r="AN9" s="128"/>
      <c r="AO9" s="128"/>
      <c r="AP9" s="128"/>
    </row>
    <row r="10" spans="1:42" s="122" customFormat="1" ht="15" customHeight="1">
      <c r="A10" s="271"/>
      <c r="B10" s="187"/>
      <c r="C10" s="187"/>
      <c r="D10" s="188" t="s">
        <v>40</v>
      </c>
      <c r="E10" s="272"/>
      <c r="F10" s="278" t="s">
        <v>41</v>
      </c>
      <c r="G10" s="279" t="s">
        <v>41</v>
      </c>
      <c r="H10" s="123">
        <v>0.04</v>
      </c>
      <c r="I10" s="125">
        <v>0.04</v>
      </c>
      <c r="J10" s="120">
        <v>0.06</v>
      </c>
      <c r="K10" s="120">
        <v>0.06</v>
      </c>
      <c r="L10" s="146">
        <v>0.06</v>
      </c>
      <c r="M10" s="146">
        <v>0.06</v>
      </c>
      <c r="N10" s="146">
        <v>0.06</v>
      </c>
      <c r="O10" s="146">
        <v>0.06</v>
      </c>
      <c r="P10" s="146">
        <v>0.06</v>
      </c>
      <c r="Q10" s="146">
        <v>0.06</v>
      </c>
      <c r="R10" s="146">
        <v>0.06</v>
      </c>
      <c r="S10" s="146">
        <v>0.05</v>
      </c>
      <c r="T10" s="146">
        <v>0.05</v>
      </c>
      <c r="U10" s="146">
        <v>0.04</v>
      </c>
      <c r="V10" s="146">
        <v>0.03</v>
      </c>
      <c r="W10" s="146">
        <v>0.03</v>
      </c>
      <c r="X10" s="146">
        <v>0.03</v>
      </c>
      <c r="Y10" s="146">
        <v>0.03</v>
      </c>
      <c r="Z10" s="146">
        <v>0.02</v>
      </c>
      <c r="AA10" s="146">
        <v>0.02</v>
      </c>
      <c r="AB10" s="146">
        <v>0.02</v>
      </c>
      <c r="AC10" s="146">
        <v>0.02</v>
      </c>
      <c r="AD10" s="146">
        <v>0.02</v>
      </c>
      <c r="AE10" s="496">
        <v>0.02</v>
      </c>
      <c r="AF10" s="148"/>
      <c r="AG10" s="150">
        <f t="shared" si="0"/>
        <v>1.0000000000000004</v>
      </c>
      <c r="AH10" s="150">
        <f t="shared" si="1"/>
        <v>0</v>
      </c>
      <c r="AI10" s="128"/>
      <c r="AJ10" s="128"/>
      <c r="AK10" s="128"/>
      <c r="AL10" s="128"/>
      <c r="AM10" s="128"/>
      <c r="AN10" s="128"/>
      <c r="AO10" s="128"/>
      <c r="AP10" s="128"/>
    </row>
    <row r="11" spans="1:42" s="122" customFormat="1" ht="15" customHeight="1" thickBot="1">
      <c r="A11" s="271"/>
      <c r="B11" s="187"/>
      <c r="C11" s="187"/>
      <c r="D11" s="195" t="s">
        <v>42</v>
      </c>
      <c r="E11" s="272" t="s">
        <v>39</v>
      </c>
      <c r="F11" s="273">
        <v>36</v>
      </c>
      <c r="G11" s="274">
        <v>25000</v>
      </c>
      <c r="H11" s="123"/>
      <c r="I11" s="125"/>
      <c r="J11" s="123">
        <v>0.05</v>
      </c>
      <c r="K11" s="123">
        <v>0.05</v>
      </c>
      <c r="L11" s="148">
        <v>0.06</v>
      </c>
      <c r="M11" s="149">
        <v>0.06</v>
      </c>
      <c r="N11" s="148">
        <v>0.06</v>
      </c>
      <c r="O11" s="148">
        <v>0.06</v>
      </c>
      <c r="P11" s="148">
        <v>0.06</v>
      </c>
      <c r="Q11" s="148">
        <v>0.06</v>
      </c>
      <c r="R11" s="148">
        <v>0.04</v>
      </c>
      <c r="S11" s="148">
        <v>0.04</v>
      </c>
      <c r="T11" s="148">
        <v>0.04</v>
      </c>
      <c r="U11" s="148">
        <v>0.04</v>
      </c>
      <c r="V11" s="148">
        <v>0.04</v>
      </c>
      <c r="W11" s="148">
        <v>0.04</v>
      </c>
      <c r="X11" s="148">
        <v>0.04</v>
      </c>
      <c r="Y11" s="148">
        <v>0.04</v>
      </c>
      <c r="Z11" s="148">
        <v>0.04</v>
      </c>
      <c r="AA11" s="148">
        <v>0.04</v>
      </c>
      <c r="AB11" s="148">
        <v>0.04</v>
      </c>
      <c r="AC11" s="148">
        <v>0.04</v>
      </c>
      <c r="AD11" s="148">
        <v>0.04</v>
      </c>
      <c r="AE11" s="497">
        <v>0.02</v>
      </c>
      <c r="AF11" s="148"/>
      <c r="AG11" s="150">
        <f t="shared" si="0"/>
        <v>1.0000000000000004</v>
      </c>
      <c r="AH11" s="150">
        <f t="shared" si="1"/>
        <v>0</v>
      </c>
      <c r="AI11" s="128"/>
      <c r="AJ11" s="128"/>
      <c r="AK11" s="128"/>
      <c r="AL11" s="128"/>
      <c r="AM11" s="128"/>
      <c r="AN11" s="128"/>
      <c r="AO11" s="128"/>
      <c r="AP11" s="128"/>
    </row>
    <row r="12" spans="1:42" s="119" customFormat="1" ht="15" customHeight="1">
      <c r="A12" s="179" t="s">
        <v>15</v>
      </c>
      <c r="B12" s="850" t="s">
        <v>16</v>
      </c>
      <c r="C12" s="804"/>
      <c r="D12" s="805"/>
      <c r="E12" s="266" t="s">
        <v>41</v>
      </c>
      <c r="F12" s="266" t="s">
        <v>41</v>
      </c>
      <c r="G12" s="267" t="s">
        <v>41</v>
      </c>
      <c r="H12" s="123"/>
      <c r="I12" s="125"/>
      <c r="J12" s="123"/>
      <c r="K12" s="123"/>
      <c r="L12" s="126"/>
      <c r="M12" s="127"/>
      <c r="N12" s="126"/>
      <c r="O12" s="126"/>
      <c r="P12" s="126"/>
      <c r="Q12" s="127"/>
      <c r="R12" s="126"/>
      <c r="S12" s="126"/>
      <c r="T12" s="126"/>
      <c r="U12" s="127"/>
      <c r="V12" s="126"/>
      <c r="W12" s="126"/>
      <c r="X12" s="126"/>
      <c r="Y12" s="127"/>
      <c r="Z12" s="126"/>
      <c r="AA12" s="126"/>
      <c r="AB12" s="141"/>
      <c r="AC12" s="127"/>
      <c r="AD12" s="126"/>
      <c r="AE12" s="141"/>
      <c r="AF12" s="126"/>
      <c r="AG12" s="150">
        <f t="shared" si="0"/>
        <v>0</v>
      </c>
      <c r="AH12" s="150">
        <f t="shared" si="1"/>
        <v>1</v>
      </c>
      <c r="AI12" s="145"/>
      <c r="AJ12" s="145"/>
      <c r="AK12" s="145"/>
      <c r="AL12" s="145"/>
      <c r="AM12" s="145"/>
      <c r="AN12" s="145"/>
      <c r="AO12" s="145"/>
      <c r="AP12" s="145"/>
    </row>
    <row r="13" spans="1:42" s="122" customFormat="1" ht="15.75">
      <c r="A13" s="268" t="s">
        <v>17</v>
      </c>
      <c r="B13" s="852" t="s">
        <v>166</v>
      </c>
      <c r="C13" s="859"/>
      <c r="D13" s="860"/>
      <c r="E13" s="269" t="s">
        <v>41</v>
      </c>
      <c r="F13" s="269" t="s">
        <v>41</v>
      </c>
      <c r="G13" s="270" t="s">
        <v>41</v>
      </c>
      <c r="H13" s="123"/>
      <c r="I13" s="125"/>
      <c r="J13" s="123"/>
      <c r="K13" s="123"/>
      <c r="L13" s="262"/>
      <c r="M13" s="263"/>
      <c r="N13" s="262"/>
      <c r="O13" s="262"/>
      <c r="P13" s="262"/>
      <c r="Q13" s="263"/>
      <c r="R13" s="262"/>
      <c r="S13" s="262"/>
      <c r="T13" s="262"/>
      <c r="U13" s="263"/>
      <c r="V13" s="262"/>
      <c r="W13" s="262"/>
      <c r="X13" s="262"/>
      <c r="Y13" s="263"/>
      <c r="Z13" s="262"/>
      <c r="AA13" s="262"/>
      <c r="AB13" s="264"/>
      <c r="AC13" s="263"/>
      <c r="AD13" s="262"/>
      <c r="AE13" s="264"/>
      <c r="AF13" s="262"/>
      <c r="AG13" s="150">
        <f t="shared" si="0"/>
        <v>0</v>
      </c>
      <c r="AH13" s="150">
        <f t="shared" si="1"/>
        <v>1</v>
      </c>
      <c r="AI13" s="128"/>
      <c r="AJ13" s="128"/>
      <c r="AK13" s="128"/>
      <c r="AL13" s="128"/>
      <c r="AM13" s="128"/>
      <c r="AN13" s="128"/>
      <c r="AO13" s="128"/>
      <c r="AP13" s="128"/>
    </row>
    <row r="14" spans="1:42" s="122" customFormat="1" ht="17.25" customHeight="1">
      <c r="A14" s="186"/>
      <c r="B14" s="187"/>
      <c r="C14" s="187"/>
      <c r="D14" s="205" t="s">
        <v>73</v>
      </c>
      <c r="E14" s="281" t="s">
        <v>43</v>
      </c>
      <c r="F14" s="278"/>
      <c r="G14" s="282"/>
      <c r="H14" s="123">
        <v>1</v>
      </c>
      <c r="I14" s="125"/>
      <c r="J14" s="123"/>
      <c r="K14" s="123"/>
      <c r="L14" s="123"/>
      <c r="M14" s="125"/>
      <c r="N14" s="123"/>
      <c r="O14" s="123"/>
      <c r="P14" s="123"/>
      <c r="Q14" s="125"/>
      <c r="R14" s="123"/>
      <c r="S14" s="123"/>
      <c r="T14" s="123"/>
      <c r="U14" s="125"/>
      <c r="V14" s="123"/>
      <c r="W14" s="123"/>
      <c r="X14" s="123"/>
      <c r="Y14" s="125"/>
      <c r="Z14" s="123"/>
      <c r="AA14" s="123"/>
      <c r="AB14" s="140"/>
      <c r="AC14" s="125"/>
      <c r="AD14" s="123"/>
      <c r="AE14" s="140"/>
      <c r="AF14" s="123"/>
      <c r="AG14" s="150">
        <f t="shared" si="0"/>
        <v>1</v>
      </c>
      <c r="AH14" s="150">
        <f t="shared" si="1"/>
        <v>0</v>
      </c>
      <c r="AI14" s="128"/>
      <c r="AJ14" s="128"/>
      <c r="AK14" s="128"/>
      <c r="AL14" s="128"/>
      <c r="AM14" s="128"/>
      <c r="AN14" s="128"/>
      <c r="AO14" s="128"/>
      <c r="AP14" s="128"/>
    </row>
    <row r="15" spans="1:42" s="122" customFormat="1" ht="15.75">
      <c r="A15" s="186"/>
      <c r="B15" s="187"/>
      <c r="C15" s="187"/>
      <c r="D15" s="209" t="s">
        <v>74</v>
      </c>
      <c r="E15" s="281" t="s">
        <v>44</v>
      </c>
      <c r="F15" s="278"/>
      <c r="G15" s="282"/>
      <c r="H15" s="123"/>
      <c r="I15" s="125"/>
      <c r="J15" s="123"/>
      <c r="K15" s="123"/>
      <c r="L15" s="324">
        <v>7.0000000000000007E-2</v>
      </c>
      <c r="M15" s="324">
        <v>0.17</v>
      </c>
      <c r="N15" s="324">
        <v>0.13</v>
      </c>
      <c r="O15" s="324">
        <v>0.13</v>
      </c>
      <c r="P15" s="324">
        <v>0.17</v>
      </c>
      <c r="Q15" s="324">
        <v>0.11</v>
      </c>
      <c r="R15" s="324">
        <v>0.11</v>
      </c>
      <c r="S15" s="324">
        <v>0.11</v>
      </c>
      <c r="T15" s="123"/>
      <c r="U15" s="123"/>
      <c r="V15" s="123"/>
      <c r="W15" s="123"/>
      <c r="X15" s="123"/>
      <c r="Y15" s="125"/>
      <c r="Z15" s="123"/>
      <c r="AA15" s="123"/>
      <c r="AB15" s="140"/>
      <c r="AC15" s="125"/>
      <c r="AD15" s="123"/>
      <c r="AE15" s="140"/>
      <c r="AF15" s="123"/>
      <c r="AG15" s="150">
        <f t="shared" si="0"/>
        <v>1</v>
      </c>
      <c r="AH15" s="150">
        <f t="shared" si="1"/>
        <v>0</v>
      </c>
      <c r="AI15" s="128"/>
      <c r="AJ15" s="128"/>
      <c r="AK15" s="128"/>
      <c r="AL15" s="128"/>
      <c r="AM15" s="128"/>
      <c r="AN15" s="128"/>
      <c r="AO15" s="128"/>
      <c r="AP15" s="128"/>
    </row>
    <row r="16" spans="1:42" s="122" customFormat="1" ht="15.75">
      <c r="A16" s="186"/>
      <c r="B16" s="187"/>
      <c r="C16" s="187"/>
      <c r="D16" s="209" t="s">
        <v>75</v>
      </c>
      <c r="E16" s="281" t="s">
        <v>45</v>
      </c>
      <c r="F16" s="278" t="s">
        <v>41</v>
      </c>
      <c r="G16" s="282" t="s">
        <v>46</v>
      </c>
      <c r="H16" s="123"/>
      <c r="I16" s="125">
        <v>0.1</v>
      </c>
      <c r="J16" s="125">
        <v>0.1</v>
      </c>
      <c r="K16" s="125">
        <v>0.1</v>
      </c>
      <c r="L16" s="325">
        <v>0.1</v>
      </c>
      <c r="M16" s="325">
        <v>0.1</v>
      </c>
      <c r="N16" s="325">
        <v>0.1</v>
      </c>
      <c r="O16" s="325">
        <v>0.1</v>
      </c>
      <c r="P16" s="325">
        <v>0.1</v>
      </c>
      <c r="Q16" s="325">
        <v>0.1</v>
      </c>
      <c r="R16" s="325">
        <v>0.1</v>
      </c>
      <c r="S16" s="125"/>
      <c r="T16" s="125"/>
      <c r="U16" s="125"/>
      <c r="V16" s="125"/>
      <c r="W16" s="123"/>
      <c r="X16" s="123"/>
      <c r="Y16" s="125"/>
      <c r="Z16" s="123"/>
      <c r="AA16" s="123"/>
      <c r="AB16" s="140"/>
      <c r="AC16" s="125"/>
      <c r="AD16" s="123"/>
      <c r="AE16" s="140"/>
      <c r="AF16" s="123"/>
      <c r="AG16" s="150">
        <f t="shared" si="0"/>
        <v>0.99999999999999989</v>
      </c>
      <c r="AH16" s="150">
        <f t="shared" si="1"/>
        <v>0</v>
      </c>
      <c r="AI16" s="128"/>
      <c r="AJ16" s="128"/>
      <c r="AK16" s="128"/>
      <c r="AL16" s="128"/>
      <c r="AM16" s="128"/>
      <c r="AN16" s="128"/>
      <c r="AO16" s="128"/>
      <c r="AP16" s="128"/>
    </row>
    <row r="17" spans="1:42" s="122" customFormat="1" ht="30">
      <c r="A17" s="186"/>
      <c r="B17" s="187"/>
      <c r="C17" s="187"/>
      <c r="D17" s="209" t="s">
        <v>76</v>
      </c>
      <c r="E17" s="281" t="s">
        <v>45</v>
      </c>
      <c r="F17" s="278" t="s">
        <v>41</v>
      </c>
      <c r="G17" s="282" t="s">
        <v>46</v>
      </c>
      <c r="H17" s="123"/>
      <c r="I17" s="125"/>
      <c r="J17" s="123"/>
      <c r="K17" s="323"/>
      <c r="L17" s="323"/>
      <c r="M17" s="324">
        <v>0.3</v>
      </c>
      <c r="N17" s="324">
        <v>0.2</v>
      </c>
      <c r="O17" s="324">
        <v>0.2</v>
      </c>
      <c r="P17" s="324">
        <v>0.3</v>
      </c>
      <c r="Q17" s="125"/>
      <c r="R17" s="123"/>
      <c r="S17" s="123"/>
      <c r="T17" s="123"/>
      <c r="U17" s="125"/>
      <c r="V17" s="123"/>
      <c r="W17" s="123"/>
      <c r="X17" s="123"/>
      <c r="Y17" s="125"/>
      <c r="Z17" s="123"/>
      <c r="AA17" s="123"/>
      <c r="AB17" s="140"/>
      <c r="AC17" s="125"/>
      <c r="AD17" s="123"/>
      <c r="AE17" s="140"/>
      <c r="AF17" s="123"/>
      <c r="AG17" s="150">
        <f t="shared" si="0"/>
        <v>1</v>
      </c>
      <c r="AH17" s="150">
        <f t="shared" si="1"/>
        <v>0</v>
      </c>
      <c r="AI17" s="128"/>
      <c r="AJ17" s="128"/>
      <c r="AK17" s="128"/>
      <c r="AL17" s="128"/>
      <c r="AM17" s="128"/>
      <c r="AN17" s="128"/>
      <c r="AO17" s="128"/>
      <c r="AP17" s="128"/>
    </row>
    <row r="18" spans="1:42" s="122" customFormat="1" ht="15.75" customHeight="1">
      <c r="A18" s="186"/>
      <c r="B18" s="187"/>
      <c r="C18" s="187"/>
      <c r="D18" s="209" t="s">
        <v>77</v>
      </c>
      <c r="E18" s="281" t="s">
        <v>45</v>
      </c>
      <c r="F18" s="278" t="s">
        <v>41</v>
      </c>
      <c r="G18" s="282" t="s">
        <v>46</v>
      </c>
      <c r="H18" s="123"/>
      <c r="I18" s="125"/>
      <c r="J18" s="123"/>
      <c r="K18" s="123"/>
      <c r="L18" s="324">
        <v>0.1</v>
      </c>
      <c r="M18" s="325">
        <v>0.3</v>
      </c>
      <c r="N18" s="324">
        <v>0.1</v>
      </c>
      <c r="O18" s="324">
        <v>0.1</v>
      </c>
      <c r="P18" s="324">
        <v>0.1</v>
      </c>
      <c r="Q18" s="324">
        <v>0.1</v>
      </c>
      <c r="R18" s="324">
        <v>0.1</v>
      </c>
      <c r="S18" s="324">
        <v>0.1</v>
      </c>
      <c r="T18" s="123"/>
      <c r="U18" s="125"/>
      <c r="V18" s="123"/>
      <c r="W18" s="123"/>
      <c r="X18" s="123"/>
      <c r="Y18" s="125"/>
      <c r="Z18" s="123"/>
      <c r="AA18" s="123"/>
      <c r="AB18" s="140"/>
      <c r="AC18" s="125"/>
      <c r="AD18" s="123"/>
      <c r="AE18" s="140"/>
      <c r="AF18" s="123"/>
      <c r="AG18" s="150">
        <f t="shared" si="0"/>
        <v>0.99999999999999989</v>
      </c>
      <c r="AH18" s="150">
        <f t="shared" si="1"/>
        <v>0</v>
      </c>
      <c r="AI18" s="128"/>
      <c r="AJ18" s="128"/>
      <c r="AK18" s="128"/>
      <c r="AL18" s="128"/>
      <c r="AM18" s="128"/>
      <c r="AN18" s="128"/>
      <c r="AO18" s="128"/>
      <c r="AP18" s="128"/>
    </row>
    <row r="19" spans="1:42" s="122" customFormat="1" ht="15.75">
      <c r="A19" s="186"/>
      <c r="B19" s="187"/>
      <c r="C19" s="187"/>
      <c r="D19" s="209" t="s">
        <v>78</v>
      </c>
      <c r="E19" s="281"/>
      <c r="F19" s="278"/>
      <c r="G19" s="282"/>
      <c r="H19" s="123"/>
      <c r="I19" s="125"/>
      <c r="J19" s="123"/>
      <c r="K19" s="123">
        <v>0.2</v>
      </c>
      <c r="L19" s="324">
        <v>0.16</v>
      </c>
      <c r="M19" s="324">
        <v>0.16</v>
      </c>
      <c r="N19" s="324">
        <v>0.16</v>
      </c>
      <c r="O19" s="324">
        <v>0.16</v>
      </c>
      <c r="P19" s="324">
        <v>0.16</v>
      </c>
      <c r="Q19" s="125"/>
      <c r="R19" s="123"/>
      <c r="S19" s="123"/>
      <c r="T19" s="123"/>
      <c r="U19" s="125"/>
      <c r="V19" s="123"/>
      <c r="W19" s="123"/>
      <c r="X19" s="123"/>
      <c r="Y19" s="125"/>
      <c r="Z19" s="123"/>
      <c r="AA19" s="123"/>
      <c r="AB19" s="140"/>
      <c r="AC19" s="125"/>
      <c r="AD19" s="123"/>
      <c r="AE19" s="140"/>
      <c r="AF19" s="123"/>
      <c r="AG19" s="150">
        <f t="shared" si="0"/>
        <v>1</v>
      </c>
      <c r="AH19" s="150">
        <f t="shared" si="1"/>
        <v>0</v>
      </c>
      <c r="AI19" s="128"/>
      <c r="AJ19" s="128"/>
      <c r="AK19" s="128"/>
      <c r="AL19" s="128"/>
      <c r="AM19" s="128"/>
      <c r="AN19" s="128"/>
      <c r="AO19" s="128"/>
      <c r="AP19" s="128"/>
    </row>
    <row r="20" spans="1:42" s="122" customFormat="1" ht="15.75">
      <c r="A20" s="186"/>
      <c r="B20" s="187"/>
      <c r="C20" s="187"/>
      <c r="D20" s="209" t="s">
        <v>79</v>
      </c>
      <c r="E20" s="281"/>
      <c r="F20" s="278"/>
      <c r="G20" s="282"/>
      <c r="H20" s="123"/>
      <c r="I20" s="125"/>
      <c r="J20" s="123"/>
      <c r="K20" s="123"/>
      <c r="L20" s="324">
        <v>0.3</v>
      </c>
      <c r="M20" s="325"/>
      <c r="N20" s="324">
        <v>0.2</v>
      </c>
      <c r="O20" s="324"/>
      <c r="P20" s="324">
        <v>0.2</v>
      </c>
      <c r="Q20" s="325"/>
      <c r="R20" s="324">
        <v>0.3</v>
      </c>
      <c r="S20" s="123"/>
      <c r="T20" s="123"/>
      <c r="U20" s="125"/>
      <c r="V20" s="123"/>
      <c r="W20" s="123"/>
      <c r="X20" s="123"/>
      <c r="Y20" s="125"/>
      <c r="Z20" s="123"/>
      <c r="AA20" s="123"/>
      <c r="AB20" s="140"/>
      <c r="AC20" s="125"/>
      <c r="AD20" s="123"/>
      <c r="AE20" s="140"/>
      <c r="AF20" s="123"/>
      <c r="AG20" s="150">
        <f t="shared" si="0"/>
        <v>1</v>
      </c>
      <c r="AH20" s="150">
        <f t="shared" si="1"/>
        <v>0</v>
      </c>
      <c r="AI20" s="128"/>
      <c r="AJ20" s="128"/>
      <c r="AK20" s="128"/>
      <c r="AL20" s="128"/>
      <c r="AM20" s="128"/>
      <c r="AN20" s="128"/>
      <c r="AO20" s="128"/>
      <c r="AP20" s="128"/>
    </row>
    <row r="21" spans="1:42" s="122" customFormat="1" ht="15.75">
      <c r="A21" s="186"/>
      <c r="B21" s="187"/>
      <c r="C21" s="187"/>
      <c r="D21" s="209" t="s">
        <v>80</v>
      </c>
      <c r="E21" s="281" t="s">
        <v>45</v>
      </c>
      <c r="F21" s="278"/>
      <c r="G21" s="282"/>
      <c r="H21" s="123"/>
      <c r="I21" s="125"/>
      <c r="J21" s="123"/>
      <c r="K21" s="123">
        <v>0.25</v>
      </c>
      <c r="L21" s="324">
        <v>0.25</v>
      </c>
      <c r="M21" s="324">
        <v>0.25</v>
      </c>
      <c r="N21" s="324">
        <v>0.25</v>
      </c>
      <c r="O21" s="123"/>
      <c r="P21" s="123"/>
      <c r="Q21" s="125"/>
      <c r="R21" s="123"/>
      <c r="S21" s="123"/>
      <c r="T21" s="123"/>
      <c r="U21" s="125"/>
      <c r="V21" s="123"/>
      <c r="W21" s="123"/>
      <c r="X21" s="123"/>
      <c r="Y21" s="125"/>
      <c r="Z21" s="123"/>
      <c r="AA21" s="123"/>
      <c r="AB21" s="140"/>
      <c r="AC21" s="125"/>
      <c r="AD21" s="123"/>
      <c r="AE21" s="140"/>
      <c r="AF21" s="123"/>
      <c r="AG21" s="150">
        <f t="shared" si="0"/>
        <v>1</v>
      </c>
      <c r="AH21" s="150">
        <f t="shared" si="1"/>
        <v>0</v>
      </c>
      <c r="AI21" s="128"/>
      <c r="AJ21" s="128"/>
      <c r="AK21" s="128"/>
      <c r="AL21" s="128"/>
      <c r="AM21" s="128"/>
      <c r="AN21" s="128"/>
      <c r="AO21" s="128"/>
      <c r="AP21" s="128"/>
    </row>
    <row r="22" spans="1:42" s="122" customFormat="1" ht="15.75">
      <c r="A22" s="186"/>
      <c r="B22" s="187"/>
      <c r="C22" s="187"/>
      <c r="D22" s="209" t="s">
        <v>81</v>
      </c>
      <c r="E22" s="281" t="s">
        <v>45</v>
      </c>
      <c r="F22" s="278"/>
      <c r="G22" s="282"/>
      <c r="H22" s="123"/>
      <c r="I22" s="125"/>
      <c r="J22" s="123"/>
      <c r="K22" s="123">
        <v>0.4</v>
      </c>
      <c r="L22" s="324">
        <v>0.3</v>
      </c>
      <c r="M22" s="325">
        <v>0.3</v>
      </c>
      <c r="N22" s="123"/>
      <c r="O22" s="123"/>
      <c r="P22" s="123"/>
      <c r="Q22" s="125"/>
      <c r="R22" s="123"/>
      <c r="S22" s="123"/>
      <c r="T22" s="123"/>
      <c r="U22" s="125"/>
      <c r="V22" s="123"/>
      <c r="W22" s="123"/>
      <c r="X22" s="123"/>
      <c r="Y22" s="125"/>
      <c r="Z22" s="123"/>
      <c r="AA22" s="123"/>
      <c r="AB22" s="140"/>
      <c r="AC22" s="125"/>
      <c r="AD22" s="123"/>
      <c r="AE22" s="140"/>
      <c r="AF22" s="123"/>
      <c r="AG22" s="150">
        <f t="shared" si="0"/>
        <v>1</v>
      </c>
      <c r="AH22" s="150">
        <f t="shared" si="1"/>
        <v>0</v>
      </c>
      <c r="AI22" s="128"/>
      <c r="AJ22" s="128"/>
      <c r="AK22" s="128"/>
      <c r="AL22" s="128"/>
      <c r="AM22" s="128"/>
      <c r="AN22" s="128"/>
      <c r="AO22" s="128"/>
      <c r="AP22" s="128"/>
    </row>
    <row r="23" spans="1:42" s="122" customFormat="1" ht="15.75">
      <c r="A23" s="186"/>
      <c r="B23" s="187"/>
      <c r="C23" s="187"/>
      <c r="D23" s="209" t="s">
        <v>82</v>
      </c>
      <c r="E23" s="281" t="s">
        <v>45</v>
      </c>
      <c r="F23" s="278"/>
      <c r="G23" s="282"/>
      <c r="H23" s="123"/>
      <c r="I23" s="125"/>
      <c r="J23" s="123"/>
      <c r="K23" s="123"/>
      <c r="L23" s="324">
        <v>0.09</v>
      </c>
      <c r="M23" s="324">
        <v>0.08</v>
      </c>
      <c r="N23" s="324">
        <v>0.08</v>
      </c>
      <c r="O23" s="324">
        <v>0.09</v>
      </c>
      <c r="P23" s="324">
        <v>0.08</v>
      </c>
      <c r="Q23" s="324">
        <v>0.08</v>
      </c>
      <c r="R23" s="324">
        <v>0.08</v>
      </c>
      <c r="S23" s="324">
        <v>0.09</v>
      </c>
      <c r="T23" s="324">
        <v>0.08</v>
      </c>
      <c r="U23" s="324">
        <v>0.08</v>
      </c>
      <c r="V23" s="324">
        <v>0.09</v>
      </c>
      <c r="W23" s="324">
        <v>0.08</v>
      </c>
      <c r="X23" s="123"/>
      <c r="Y23" s="125"/>
      <c r="Z23" s="123"/>
      <c r="AA23" s="123"/>
      <c r="AB23" s="140"/>
      <c r="AC23" s="125"/>
      <c r="AD23" s="123"/>
      <c r="AE23" s="140"/>
      <c r="AF23" s="123"/>
      <c r="AG23" s="150">
        <f t="shared" si="0"/>
        <v>0.99999999999999978</v>
      </c>
      <c r="AH23" s="150">
        <f t="shared" si="1"/>
        <v>0</v>
      </c>
      <c r="AI23" s="128"/>
      <c r="AJ23" s="128"/>
      <c r="AK23" s="128"/>
      <c r="AL23" s="128"/>
      <c r="AM23" s="128"/>
      <c r="AN23" s="128"/>
      <c r="AO23" s="128"/>
      <c r="AP23" s="128"/>
    </row>
    <row r="24" spans="1:42" s="122" customFormat="1" ht="15.75">
      <c r="A24" s="186"/>
      <c r="B24" s="187"/>
      <c r="C24" s="187"/>
      <c r="D24" s="212" t="s">
        <v>83</v>
      </c>
      <c r="E24" s="281" t="s">
        <v>45</v>
      </c>
      <c r="F24" s="278"/>
      <c r="G24" s="282"/>
      <c r="H24" s="123"/>
      <c r="I24" s="125"/>
      <c r="J24" s="123"/>
      <c r="K24" s="123"/>
      <c r="L24" s="148">
        <v>0.2</v>
      </c>
      <c r="M24" s="148">
        <v>0.2</v>
      </c>
      <c r="N24" s="148">
        <v>0.2</v>
      </c>
      <c r="O24" s="148">
        <v>0.2</v>
      </c>
      <c r="P24" s="148">
        <v>0.2</v>
      </c>
      <c r="Q24" s="123"/>
      <c r="R24" s="123"/>
      <c r="S24" s="123"/>
      <c r="T24" s="123"/>
      <c r="U24" s="125"/>
      <c r="V24" s="123"/>
      <c r="W24" s="123"/>
      <c r="X24" s="123"/>
      <c r="Y24" s="125"/>
      <c r="Z24" s="123"/>
      <c r="AA24" s="123"/>
      <c r="AB24" s="140"/>
      <c r="AC24" s="125"/>
      <c r="AD24" s="123"/>
      <c r="AE24" s="140"/>
      <c r="AF24" s="123"/>
      <c r="AG24" s="150">
        <f t="shared" si="0"/>
        <v>1</v>
      </c>
      <c r="AH24" s="150">
        <f t="shared" si="1"/>
        <v>0</v>
      </c>
      <c r="AI24" s="128"/>
      <c r="AJ24" s="128"/>
      <c r="AK24" s="128"/>
      <c r="AL24" s="128"/>
      <c r="AM24" s="128"/>
      <c r="AN24" s="128"/>
      <c r="AO24" s="128"/>
      <c r="AP24" s="128"/>
    </row>
    <row r="25" spans="1:42" s="122" customFormat="1" ht="15" customHeight="1">
      <c r="A25" s="283" t="s">
        <v>48</v>
      </c>
      <c r="B25" s="284" t="s">
        <v>70</v>
      </c>
      <c r="C25" s="285"/>
      <c r="D25" s="265"/>
      <c r="E25" s="286"/>
      <c r="F25" s="286" t="s">
        <v>41</v>
      </c>
      <c r="G25" s="287">
        <f>SUM(G33:G38)</f>
        <v>0</v>
      </c>
      <c r="H25" s="123"/>
      <c r="I25" s="125"/>
      <c r="J25" s="123"/>
      <c r="K25" s="123"/>
      <c r="L25" s="262"/>
      <c r="M25" s="263"/>
      <c r="N25" s="262"/>
      <c r="O25" s="262"/>
      <c r="P25" s="262"/>
      <c r="Q25" s="263"/>
      <c r="R25" s="262"/>
      <c r="S25" s="262"/>
      <c r="T25" s="262"/>
      <c r="U25" s="263"/>
      <c r="V25" s="262"/>
      <c r="W25" s="262"/>
      <c r="X25" s="262"/>
      <c r="Y25" s="263"/>
      <c r="Z25" s="262"/>
      <c r="AA25" s="262"/>
      <c r="AB25" s="264"/>
      <c r="AC25" s="263"/>
      <c r="AD25" s="262"/>
      <c r="AE25" s="264"/>
      <c r="AF25" s="262"/>
      <c r="AG25" s="150">
        <f t="shared" si="0"/>
        <v>0</v>
      </c>
      <c r="AH25" s="150">
        <f t="shared" si="1"/>
        <v>1</v>
      </c>
      <c r="AI25" s="128"/>
      <c r="AJ25" s="128"/>
      <c r="AK25" s="128"/>
      <c r="AL25" s="128"/>
      <c r="AM25" s="128"/>
      <c r="AN25" s="128"/>
      <c r="AO25" s="128"/>
      <c r="AP25" s="128"/>
    </row>
    <row r="26" spans="1:42" s="122" customFormat="1" ht="30.75" thickBot="1">
      <c r="A26" s="186"/>
      <c r="B26" s="187"/>
      <c r="C26" s="187"/>
      <c r="D26" s="195" t="s">
        <v>72</v>
      </c>
      <c r="E26" s="272"/>
      <c r="F26" s="278" t="s">
        <v>41</v>
      </c>
      <c r="G26" s="280" t="s">
        <v>41</v>
      </c>
      <c r="H26" s="123"/>
      <c r="I26" s="125"/>
      <c r="J26" s="123"/>
      <c r="K26" s="123">
        <v>0.06</v>
      </c>
      <c r="L26" s="324">
        <v>0.06</v>
      </c>
      <c r="M26" s="324">
        <v>0.06</v>
      </c>
      <c r="N26" s="324">
        <v>0.06</v>
      </c>
      <c r="O26" s="324">
        <v>0.06</v>
      </c>
      <c r="P26" s="324">
        <v>0.06</v>
      </c>
      <c r="Q26" s="324">
        <v>0.06</v>
      </c>
      <c r="R26" s="324">
        <v>0.06</v>
      </c>
      <c r="S26" s="324">
        <v>0.06</v>
      </c>
      <c r="T26" s="324">
        <v>0.06</v>
      </c>
      <c r="U26" s="324">
        <v>0.06</v>
      </c>
      <c r="V26" s="324">
        <v>0.06</v>
      </c>
      <c r="W26" s="324">
        <v>0.06</v>
      </c>
      <c r="X26" s="324">
        <v>0.06</v>
      </c>
      <c r="Y26" s="324">
        <v>0.06</v>
      </c>
      <c r="Z26" s="324">
        <v>0.05</v>
      </c>
      <c r="AA26" s="324">
        <v>0.05</v>
      </c>
      <c r="AB26" s="140"/>
      <c r="AC26" s="125"/>
      <c r="AD26" s="123"/>
      <c r="AE26" s="140"/>
      <c r="AF26" s="123"/>
      <c r="AG26" s="150">
        <f t="shared" si="0"/>
        <v>1.0000000000000004</v>
      </c>
      <c r="AH26" s="150">
        <f>1-AG26</f>
        <v>0</v>
      </c>
      <c r="AI26" s="128"/>
      <c r="AJ26" s="128"/>
      <c r="AK26" s="128"/>
      <c r="AL26" s="128"/>
      <c r="AM26" s="128"/>
      <c r="AN26" s="128"/>
      <c r="AO26" s="128"/>
      <c r="AP26" s="128"/>
    </row>
    <row r="27" spans="1:42" s="122" customFormat="1" ht="15" customHeight="1">
      <c r="A27" s="222"/>
      <c r="B27" s="223"/>
      <c r="C27" s="224"/>
      <c r="D27" s="225" t="s">
        <v>84</v>
      </c>
      <c r="E27" s="288"/>
      <c r="F27" s="288"/>
      <c r="G27" s="289"/>
      <c r="H27" s="123"/>
      <c r="I27" s="123">
        <v>7.0000000000000007E-2</v>
      </c>
      <c r="J27" s="123">
        <v>0.25</v>
      </c>
      <c r="K27" s="123">
        <v>0.2</v>
      </c>
      <c r="L27" s="324">
        <v>0.16</v>
      </c>
      <c r="M27" s="324">
        <v>0.16</v>
      </c>
      <c r="N27" s="324">
        <v>0.16</v>
      </c>
      <c r="O27" s="123"/>
      <c r="P27" s="123"/>
      <c r="Q27" s="125"/>
      <c r="R27" s="123"/>
      <c r="S27" s="123"/>
      <c r="T27" s="123"/>
      <c r="U27" s="125"/>
      <c r="V27" s="123"/>
      <c r="W27" s="123"/>
      <c r="X27" s="123"/>
      <c r="Y27" s="125"/>
      <c r="Z27" s="123"/>
      <c r="AA27" s="123"/>
      <c r="AB27" s="140"/>
      <c r="AC27" s="125"/>
      <c r="AD27" s="123"/>
      <c r="AE27" s="140"/>
      <c r="AF27" s="123"/>
      <c r="AG27" s="150">
        <f t="shared" si="0"/>
        <v>1</v>
      </c>
      <c r="AH27" s="150">
        <f t="shared" si="1"/>
        <v>0</v>
      </c>
      <c r="AI27" s="128"/>
      <c r="AJ27" s="128"/>
      <c r="AK27" s="128"/>
      <c r="AL27" s="128"/>
      <c r="AM27" s="128"/>
      <c r="AN27" s="128"/>
      <c r="AO27" s="128"/>
      <c r="AP27" s="128"/>
    </row>
    <row r="28" spans="1:42" s="122" customFormat="1" ht="15" customHeight="1">
      <c r="A28" s="222"/>
      <c r="B28" s="223"/>
      <c r="C28" s="224"/>
      <c r="D28" s="225" t="s">
        <v>85</v>
      </c>
      <c r="E28" s="288"/>
      <c r="F28" s="288"/>
      <c r="G28" s="289"/>
      <c r="H28" s="123"/>
      <c r="I28" s="123">
        <v>7.0000000000000007E-2</v>
      </c>
      <c r="J28" s="123">
        <v>0.25</v>
      </c>
      <c r="K28" s="123">
        <v>0.2</v>
      </c>
      <c r="L28" s="324">
        <v>0.16</v>
      </c>
      <c r="M28" s="324">
        <v>0.16</v>
      </c>
      <c r="N28" s="324">
        <v>0.16</v>
      </c>
      <c r="O28" s="123"/>
      <c r="P28" s="123"/>
      <c r="Q28" s="125"/>
      <c r="R28" s="123"/>
      <c r="S28" s="123"/>
      <c r="T28" s="123"/>
      <c r="U28" s="125"/>
      <c r="V28" s="123"/>
      <c r="W28" s="123"/>
      <c r="X28" s="123"/>
      <c r="Y28" s="125"/>
      <c r="Z28" s="123"/>
      <c r="AA28" s="123"/>
      <c r="AB28" s="140"/>
      <c r="AC28" s="125"/>
      <c r="AD28" s="123"/>
      <c r="AE28" s="140"/>
      <c r="AF28" s="123"/>
      <c r="AG28" s="150">
        <f t="shared" si="0"/>
        <v>1</v>
      </c>
      <c r="AH28" s="150">
        <f t="shared" si="1"/>
        <v>0</v>
      </c>
      <c r="AI28" s="128"/>
      <c r="AJ28" s="128"/>
      <c r="AK28" s="128"/>
      <c r="AL28" s="128"/>
      <c r="AM28" s="128"/>
      <c r="AN28" s="128"/>
      <c r="AO28" s="128"/>
      <c r="AP28" s="128"/>
    </row>
    <row r="29" spans="1:42" s="122" customFormat="1" ht="15" customHeight="1">
      <c r="A29" s="222"/>
      <c r="B29" s="223"/>
      <c r="C29" s="224"/>
      <c r="D29" s="225" t="s">
        <v>86</v>
      </c>
      <c r="E29" s="288"/>
      <c r="F29" s="288"/>
      <c r="G29" s="289"/>
      <c r="H29" s="123"/>
      <c r="I29" s="125"/>
      <c r="J29" s="123"/>
      <c r="K29" s="123"/>
      <c r="L29" s="324">
        <v>0.2</v>
      </c>
      <c r="M29" s="325">
        <v>0.14000000000000001</v>
      </c>
      <c r="N29" s="325">
        <v>0.11</v>
      </c>
      <c r="O29" s="325">
        <v>0.11</v>
      </c>
      <c r="P29" s="325">
        <v>0.11</v>
      </c>
      <c r="Q29" s="325">
        <v>0.11</v>
      </c>
      <c r="R29" s="325">
        <v>0.11</v>
      </c>
      <c r="S29" s="325">
        <v>0.11</v>
      </c>
      <c r="T29" s="123"/>
      <c r="U29" s="125"/>
      <c r="V29" s="123"/>
      <c r="W29" s="123"/>
      <c r="X29" s="123"/>
      <c r="Y29" s="125"/>
      <c r="Z29" s="123"/>
      <c r="AA29" s="123"/>
      <c r="AB29" s="140"/>
      <c r="AC29" s="125"/>
      <c r="AD29" s="123"/>
      <c r="AE29" s="140"/>
      <c r="AF29" s="123"/>
      <c r="AG29" s="150">
        <f t="shared" si="0"/>
        <v>1</v>
      </c>
      <c r="AH29" s="150">
        <f t="shared" si="1"/>
        <v>0</v>
      </c>
      <c r="AI29" s="128"/>
      <c r="AJ29" s="128"/>
      <c r="AK29" s="128"/>
      <c r="AL29" s="128"/>
      <c r="AM29" s="128"/>
      <c r="AN29" s="128"/>
      <c r="AO29" s="128"/>
      <c r="AP29" s="128"/>
    </row>
    <row r="30" spans="1:42" s="122" customFormat="1" ht="15" customHeight="1">
      <c r="A30" s="222"/>
      <c r="B30" s="223"/>
      <c r="C30" s="224"/>
      <c r="D30" s="225" t="s">
        <v>87</v>
      </c>
      <c r="E30" s="288"/>
      <c r="F30" s="288"/>
      <c r="G30" s="289"/>
      <c r="H30" s="123"/>
      <c r="I30" s="125"/>
      <c r="J30" s="123"/>
      <c r="K30" s="123"/>
      <c r="L30" s="324">
        <v>0.2</v>
      </c>
      <c r="M30" s="325">
        <v>0.14000000000000001</v>
      </c>
      <c r="N30" s="325">
        <v>0.11</v>
      </c>
      <c r="O30" s="325">
        <v>0.11</v>
      </c>
      <c r="P30" s="325">
        <v>0.11</v>
      </c>
      <c r="Q30" s="325">
        <v>0.11</v>
      </c>
      <c r="R30" s="325">
        <v>0.11</v>
      </c>
      <c r="S30" s="325">
        <v>0.11</v>
      </c>
      <c r="T30" s="123"/>
      <c r="U30" s="125"/>
      <c r="V30" s="123"/>
      <c r="W30" s="123"/>
      <c r="X30" s="123"/>
      <c r="Y30" s="125"/>
      <c r="Z30" s="123"/>
      <c r="AA30" s="123"/>
      <c r="AB30" s="140"/>
      <c r="AC30" s="125"/>
      <c r="AD30" s="123"/>
      <c r="AE30" s="140"/>
      <c r="AF30" s="123"/>
      <c r="AG30" s="150">
        <f t="shared" si="0"/>
        <v>1</v>
      </c>
      <c r="AH30" s="150">
        <f t="shared" si="1"/>
        <v>0</v>
      </c>
      <c r="AI30" s="128"/>
      <c r="AJ30" s="128"/>
      <c r="AK30" s="128"/>
      <c r="AL30" s="128"/>
      <c r="AM30" s="128"/>
      <c r="AN30" s="128"/>
      <c r="AO30" s="128"/>
      <c r="AP30" s="128"/>
    </row>
    <row r="31" spans="1:42" s="122" customFormat="1" ht="15" customHeight="1">
      <c r="A31" s="222"/>
      <c r="B31" s="223"/>
      <c r="C31" s="224"/>
      <c r="D31" s="225" t="s">
        <v>88</v>
      </c>
      <c r="E31" s="288"/>
      <c r="F31" s="288"/>
      <c r="G31" s="289"/>
      <c r="H31" s="123">
        <v>0.5</v>
      </c>
      <c r="I31" s="123">
        <v>0.5</v>
      </c>
      <c r="J31" s="123"/>
      <c r="K31" s="123"/>
      <c r="L31" s="123"/>
      <c r="M31" s="125"/>
      <c r="N31" s="123"/>
      <c r="O31" s="123"/>
      <c r="P31" s="123"/>
      <c r="Q31" s="125"/>
      <c r="R31" s="123"/>
      <c r="S31" s="123"/>
      <c r="T31" s="123"/>
      <c r="U31" s="125"/>
      <c r="V31" s="123"/>
      <c r="W31" s="123"/>
      <c r="X31" s="123"/>
      <c r="Y31" s="125"/>
      <c r="Z31" s="123"/>
      <c r="AA31" s="123"/>
      <c r="AB31" s="140"/>
      <c r="AC31" s="125"/>
      <c r="AD31" s="123"/>
      <c r="AE31" s="140"/>
      <c r="AF31" s="123"/>
      <c r="AG31" s="150">
        <f t="shared" si="0"/>
        <v>1</v>
      </c>
      <c r="AH31" s="150">
        <f t="shared" si="1"/>
        <v>0</v>
      </c>
      <c r="AI31" s="128"/>
      <c r="AJ31" s="128"/>
      <c r="AK31" s="128"/>
      <c r="AL31" s="128"/>
      <c r="AM31" s="128"/>
      <c r="AN31" s="128"/>
      <c r="AO31" s="128"/>
      <c r="AP31" s="128"/>
    </row>
    <row r="32" spans="1:42" s="122" customFormat="1" ht="15" customHeight="1">
      <c r="A32" s="222"/>
      <c r="B32" s="223"/>
      <c r="C32" s="224"/>
      <c r="D32" s="225" t="s">
        <v>89</v>
      </c>
      <c r="E32" s="288"/>
      <c r="F32" s="288"/>
      <c r="G32" s="289"/>
      <c r="H32" s="123">
        <v>0.2</v>
      </c>
      <c r="I32" s="125">
        <v>0.14000000000000001</v>
      </c>
      <c r="J32" s="125">
        <v>0.14000000000000001</v>
      </c>
      <c r="K32" s="125">
        <v>0.13</v>
      </c>
      <c r="L32" s="325">
        <v>0.13</v>
      </c>
      <c r="M32" s="325">
        <v>0.13</v>
      </c>
      <c r="N32" s="325">
        <v>0.13</v>
      </c>
      <c r="O32" s="123"/>
      <c r="P32" s="123"/>
      <c r="Q32" s="125"/>
      <c r="R32" s="123"/>
      <c r="S32" s="123"/>
      <c r="T32" s="123"/>
      <c r="U32" s="125"/>
      <c r="V32" s="123"/>
      <c r="W32" s="123"/>
      <c r="X32" s="123"/>
      <c r="Y32" s="125"/>
      <c r="Z32" s="123"/>
      <c r="AA32" s="123"/>
      <c r="AB32" s="140"/>
      <c r="AC32" s="125"/>
      <c r="AD32" s="123"/>
      <c r="AE32" s="140"/>
      <c r="AF32" s="123"/>
      <c r="AG32" s="150">
        <f t="shared" si="0"/>
        <v>1</v>
      </c>
      <c r="AH32" s="150">
        <f t="shared" si="1"/>
        <v>0</v>
      </c>
      <c r="AI32" s="128"/>
      <c r="AJ32" s="128"/>
      <c r="AK32" s="128"/>
      <c r="AL32" s="128"/>
      <c r="AM32" s="128"/>
      <c r="AN32" s="128"/>
      <c r="AO32" s="128"/>
      <c r="AP32" s="128"/>
    </row>
    <row r="33" spans="1:42" s="122" customFormat="1" ht="15" customHeight="1">
      <c r="A33" s="186"/>
      <c r="B33" s="226"/>
      <c r="C33" s="226"/>
      <c r="D33" s="225" t="s">
        <v>90</v>
      </c>
      <c r="E33" s="290"/>
      <c r="F33" s="290"/>
      <c r="G33" s="291"/>
      <c r="H33" s="123">
        <v>0.2</v>
      </c>
      <c r="I33" s="125">
        <v>0.14000000000000001</v>
      </c>
      <c r="J33" s="125">
        <v>0.11</v>
      </c>
      <c r="K33" s="125">
        <v>0.11</v>
      </c>
      <c r="L33" s="325">
        <v>0.11</v>
      </c>
      <c r="M33" s="325">
        <v>0.11</v>
      </c>
      <c r="N33" s="325">
        <v>0.11</v>
      </c>
      <c r="O33" s="325">
        <v>0.11</v>
      </c>
      <c r="P33" s="123"/>
      <c r="Q33" s="125"/>
      <c r="R33" s="123"/>
      <c r="S33" s="123"/>
      <c r="T33" s="123"/>
      <c r="U33" s="125"/>
      <c r="V33" s="123"/>
      <c r="W33" s="123"/>
      <c r="X33" s="123"/>
      <c r="Y33" s="125"/>
      <c r="Z33" s="123"/>
      <c r="AA33" s="123"/>
      <c r="AB33" s="140"/>
      <c r="AC33" s="125"/>
      <c r="AD33" s="123"/>
      <c r="AE33" s="140"/>
      <c r="AF33" s="123"/>
      <c r="AG33" s="150">
        <f t="shared" si="0"/>
        <v>1</v>
      </c>
      <c r="AH33" s="150">
        <f t="shared" si="1"/>
        <v>0</v>
      </c>
      <c r="AI33" s="128"/>
      <c r="AJ33" s="128"/>
      <c r="AK33" s="128"/>
      <c r="AL33" s="128"/>
      <c r="AM33" s="128"/>
      <c r="AN33" s="128"/>
      <c r="AO33" s="128"/>
      <c r="AP33" s="128"/>
    </row>
    <row r="34" spans="1:42" s="122" customFormat="1" ht="15" customHeight="1">
      <c r="A34" s="186"/>
      <c r="B34" s="226"/>
      <c r="C34" s="226"/>
      <c r="D34" s="225" t="s">
        <v>91</v>
      </c>
      <c r="E34" s="290"/>
      <c r="F34" s="290"/>
      <c r="G34" s="291"/>
      <c r="H34" s="123"/>
      <c r="I34" s="125"/>
      <c r="J34" s="123">
        <v>0.25</v>
      </c>
      <c r="K34" s="125">
        <v>0.15</v>
      </c>
      <c r="L34" s="325">
        <v>0.15</v>
      </c>
      <c r="M34" s="325">
        <v>0.15</v>
      </c>
      <c r="N34" s="325">
        <v>0.15</v>
      </c>
      <c r="O34" s="325">
        <v>0.15</v>
      </c>
      <c r="P34" s="125"/>
      <c r="Q34" s="125"/>
      <c r="R34" s="123"/>
      <c r="S34" s="123"/>
      <c r="T34" s="123"/>
      <c r="U34" s="125"/>
      <c r="V34" s="123"/>
      <c r="W34" s="123"/>
      <c r="X34" s="123"/>
      <c r="Y34" s="125"/>
      <c r="Z34" s="123"/>
      <c r="AA34" s="123"/>
      <c r="AB34" s="140"/>
      <c r="AC34" s="125"/>
      <c r="AD34" s="123"/>
      <c r="AE34" s="140"/>
      <c r="AF34" s="123"/>
      <c r="AG34" s="150">
        <f t="shared" si="0"/>
        <v>1</v>
      </c>
      <c r="AH34" s="150">
        <f t="shared" si="1"/>
        <v>0</v>
      </c>
      <c r="AI34" s="128"/>
      <c r="AJ34" s="128"/>
      <c r="AK34" s="128"/>
      <c r="AL34" s="128"/>
      <c r="AM34" s="128"/>
      <c r="AN34" s="128"/>
      <c r="AO34" s="128"/>
      <c r="AP34" s="128"/>
    </row>
    <row r="35" spans="1:42" s="122" customFormat="1" ht="27.75" customHeight="1">
      <c r="A35" s="186"/>
      <c r="B35" s="226"/>
      <c r="C35" s="226"/>
      <c r="D35" s="225" t="s">
        <v>92</v>
      </c>
      <c r="E35" s="290"/>
      <c r="F35" s="290"/>
      <c r="G35" s="291"/>
      <c r="H35" s="123">
        <v>0.3</v>
      </c>
      <c r="I35" s="125">
        <v>0.25</v>
      </c>
      <c r="J35" s="125">
        <v>0.25</v>
      </c>
      <c r="K35" s="125">
        <v>0.2</v>
      </c>
      <c r="L35" s="123"/>
      <c r="M35" s="125"/>
      <c r="N35" s="123"/>
      <c r="O35" s="123"/>
      <c r="P35" s="123"/>
      <c r="Q35" s="125"/>
      <c r="R35" s="123"/>
      <c r="S35" s="123"/>
      <c r="T35" s="123"/>
      <c r="U35" s="125"/>
      <c r="V35" s="123"/>
      <c r="W35" s="123"/>
      <c r="X35" s="123"/>
      <c r="Y35" s="125"/>
      <c r="Z35" s="123"/>
      <c r="AA35" s="123"/>
      <c r="AB35" s="140"/>
      <c r="AC35" s="125"/>
      <c r="AD35" s="123"/>
      <c r="AE35" s="140"/>
      <c r="AF35" s="123"/>
      <c r="AG35" s="150">
        <f t="shared" si="0"/>
        <v>1</v>
      </c>
      <c r="AH35" s="150">
        <f t="shared" si="1"/>
        <v>0</v>
      </c>
      <c r="AI35" s="128"/>
      <c r="AJ35" s="128"/>
      <c r="AK35" s="128"/>
      <c r="AL35" s="128"/>
      <c r="AM35" s="128"/>
      <c r="AN35" s="128"/>
      <c r="AO35" s="128"/>
      <c r="AP35" s="128"/>
    </row>
    <row r="36" spans="1:42" s="122" customFormat="1" ht="15" customHeight="1">
      <c r="A36" s="186"/>
      <c r="B36" s="226"/>
      <c r="C36" s="226"/>
      <c r="D36" s="225" t="s">
        <v>93</v>
      </c>
      <c r="E36" s="290"/>
      <c r="F36" s="290"/>
      <c r="G36" s="291"/>
      <c r="H36" s="123">
        <v>0.3</v>
      </c>
      <c r="I36" s="125">
        <v>0.25</v>
      </c>
      <c r="J36" s="125">
        <v>0.25</v>
      </c>
      <c r="K36" s="125">
        <v>0.2</v>
      </c>
      <c r="L36" s="123"/>
      <c r="M36" s="125"/>
      <c r="N36" s="123"/>
      <c r="O36" s="123"/>
      <c r="P36" s="123"/>
      <c r="Q36" s="125"/>
      <c r="R36" s="123"/>
      <c r="S36" s="123"/>
      <c r="T36" s="123"/>
      <c r="U36" s="125"/>
      <c r="V36" s="123"/>
      <c r="W36" s="123"/>
      <c r="X36" s="123"/>
      <c r="Y36" s="125"/>
      <c r="Z36" s="123"/>
      <c r="AA36" s="123"/>
      <c r="AB36" s="140"/>
      <c r="AC36" s="125"/>
      <c r="AD36" s="123"/>
      <c r="AE36" s="140"/>
      <c r="AF36" s="123"/>
      <c r="AG36" s="150">
        <f t="shared" si="0"/>
        <v>1</v>
      </c>
      <c r="AH36" s="150">
        <f t="shared" si="1"/>
        <v>0</v>
      </c>
      <c r="AI36" s="128"/>
      <c r="AJ36" s="128"/>
      <c r="AK36" s="128"/>
      <c r="AL36" s="128"/>
      <c r="AM36" s="128"/>
      <c r="AN36" s="128"/>
      <c r="AO36" s="128"/>
      <c r="AP36" s="128"/>
    </row>
    <row r="37" spans="1:42" s="122" customFormat="1" ht="15" customHeight="1">
      <c r="A37" s="186"/>
      <c r="B37" s="226"/>
      <c r="C37" s="226"/>
      <c r="D37" s="225" t="s">
        <v>94</v>
      </c>
      <c r="E37" s="290"/>
      <c r="F37" s="290"/>
      <c r="G37" s="291"/>
      <c r="H37" s="123"/>
      <c r="I37" s="125"/>
      <c r="J37" s="123"/>
      <c r="K37" s="123"/>
      <c r="L37" s="123"/>
      <c r="M37" s="125"/>
      <c r="N37" s="123"/>
      <c r="O37" s="123"/>
      <c r="P37" s="123"/>
      <c r="Q37" s="325">
        <v>7.0000000000000007E-2</v>
      </c>
      <c r="R37" s="325">
        <v>7.0000000000000007E-2</v>
      </c>
      <c r="S37" s="325">
        <v>7.0000000000000007E-2</v>
      </c>
      <c r="T37" s="325">
        <v>7.0000000000000007E-2</v>
      </c>
      <c r="U37" s="325">
        <v>7.0000000000000007E-2</v>
      </c>
      <c r="V37" s="325">
        <v>7.0000000000000007E-2</v>
      </c>
      <c r="W37" s="325">
        <v>7.0000000000000007E-2</v>
      </c>
      <c r="X37" s="325">
        <v>7.0000000000000007E-2</v>
      </c>
      <c r="Y37" s="325">
        <v>7.0000000000000007E-2</v>
      </c>
      <c r="Z37" s="325">
        <v>7.0000000000000007E-2</v>
      </c>
      <c r="AA37" s="325">
        <v>0.06</v>
      </c>
      <c r="AB37" s="325">
        <v>0.06</v>
      </c>
      <c r="AC37" s="325">
        <v>0.06</v>
      </c>
      <c r="AD37" s="325">
        <v>0.06</v>
      </c>
      <c r="AE37" s="498">
        <v>0.06</v>
      </c>
      <c r="AF37" s="324"/>
      <c r="AG37" s="150">
        <f t="shared" si="0"/>
        <v>1.0000000000000004</v>
      </c>
      <c r="AH37" s="150">
        <f t="shared" si="1"/>
        <v>0</v>
      </c>
      <c r="AI37" s="128"/>
      <c r="AJ37" s="128"/>
      <c r="AK37" s="128"/>
      <c r="AL37" s="128"/>
      <c r="AM37" s="128"/>
      <c r="AN37" s="128"/>
      <c r="AO37" s="128"/>
      <c r="AP37" s="128"/>
    </row>
    <row r="38" spans="1:42" s="122" customFormat="1" ht="15" customHeight="1" thickBot="1">
      <c r="A38" s="186"/>
      <c r="B38" s="226"/>
      <c r="C38" s="227"/>
      <c r="D38" s="225" t="s">
        <v>95</v>
      </c>
      <c r="E38" s="290"/>
      <c r="F38" s="290"/>
      <c r="G38" s="291"/>
      <c r="H38" s="123"/>
      <c r="I38" s="125"/>
      <c r="J38" s="123"/>
      <c r="K38" s="123"/>
      <c r="L38" s="123"/>
      <c r="M38" s="325">
        <v>0.1</v>
      </c>
      <c r="N38" s="325">
        <v>0.05</v>
      </c>
      <c r="O38" s="325">
        <v>0.05</v>
      </c>
      <c r="P38" s="325">
        <v>0.05</v>
      </c>
      <c r="Q38" s="325">
        <v>0.05</v>
      </c>
      <c r="R38" s="325">
        <v>0.05</v>
      </c>
      <c r="S38" s="325">
        <v>0.05</v>
      </c>
      <c r="T38" s="325">
        <v>0.05</v>
      </c>
      <c r="U38" s="325">
        <v>0.05</v>
      </c>
      <c r="V38" s="325">
        <v>0.05</v>
      </c>
      <c r="W38" s="325">
        <v>0.05</v>
      </c>
      <c r="X38" s="325">
        <v>0.05</v>
      </c>
      <c r="Y38" s="325">
        <v>0.05</v>
      </c>
      <c r="Z38" s="325">
        <v>0.05</v>
      </c>
      <c r="AA38" s="325">
        <v>0.05</v>
      </c>
      <c r="AB38" s="325">
        <v>0.05</v>
      </c>
      <c r="AC38" s="325">
        <v>0.05</v>
      </c>
      <c r="AD38" s="325">
        <v>0.05</v>
      </c>
      <c r="AE38" s="498">
        <v>0.05</v>
      </c>
      <c r="AF38" s="324"/>
      <c r="AG38" s="150">
        <f t="shared" si="0"/>
        <v>1.0000000000000002</v>
      </c>
      <c r="AH38" s="150">
        <f t="shared" si="1"/>
        <v>0</v>
      </c>
      <c r="AI38" s="128"/>
      <c r="AJ38" s="128"/>
      <c r="AK38" s="128"/>
      <c r="AL38" s="128"/>
      <c r="AM38" s="128"/>
      <c r="AN38" s="128"/>
      <c r="AO38" s="128"/>
      <c r="AP38" s="128"/>
    </row>
    <row r="39" spans="1:42" s="122" customFormat="1" ht="15" customHeight="1">
      <c r="A39" s="292" t="s">
        <v>19</v>
      </c>
      <c r="B39" s="828" t="s">
        <v>172</v>
      </c>
      <c r="C39" s="829"/>
      <c r="D39" s="830"/>
      <c r="E39" s="293"/>
      <c r="F39" s="293" t="s">
        <v>41</v>
      </c>
      <c r="G39" s="294"/>
      <c r="H39" s="123"/>
      <c r="I39" s="125"/>
      <c r="J39" s="123"/>
      <c r="K39" s="123"/>
      <c r="L39" s="262"/>
      <c r="M39" s="263"/>
      <c r="N39" s="262"/>
      <c r="O39" s="262"/>
      <c r="P39" s="262"/>
      <c r="Q39" s="263"/>
      <c r="R39" s="262"/>
      <c r="S39" s="262"/>
      <c r="T39" s="262"/>
      <c r="U39" s="263"/>
      <c r="V39" s="262"/>
      <c r="W39" s="262"/>
      <c r="X39" s="262"/>
      <c r="Y39" s="263"/>
      <c r="Z39" s="262"/>
      <c r="AA39" s="262"/>
      <c r="AB39" s="264"/>
      <c r="AC39" s="263"/>
      <c r="AD39" s="262"/>
      <c r="AE39" s="264"/>
      <c r="AF39" s="262"/>
      <c r="AG39" s="150">
        <f t="shared" si="0"/>
        <v>0</v>
      </c>
      <c r="AH39" s="150">
        <f t="shared" si="1"/>
        <v>1</v>
      </c>
      <c r="AI39" s="128"/>
      <c r="AJ39" s="128"/>
      <c r="AK39" s="128"/>
      <c r="AL39" s="128"/>
      <c r="AM39" s="128"/>
      <c r="AN39" s="128"/>
      <c r="AO39" s="128"/>
      <c r="AP39" s="128"/>
    </row>
    <row r="40" spans="1:42" s="122" customFormat="1" ht="30">
      <c r="A40" s="231"/>
      <c r="B40" s="232"/>
      <c r="C40" s="232"/>
      <c r="D40" s="233" t="s">
        <v>109</v>
      </c>
      <c r="E40" s="295"/>
      <c r="F40" s="295"/>
      <c r="G40" s="296"/>
      <c r="H40" s="123"/>
      <c r="I40" s="125"/>
      <c r="J40" s="123">
        <v>0.08</v>
      </c>
      <c r="K40" s="123">
        <v>0.08</v>
      </c>
      <c r="L40" s="326">
        <v>0.08</v>
      </c>
      <c r="M40" s="326">
        <v>0.09</v>
      </c>
      <c r="N40" s="326">
        <v>0.03</v>
      </c>
      <c r="O40" s="326">
        <v>0.03</v>
      </c>
      <c r="P40" s="326">
        <v>0.03</v>
      </c>
      <c r="Q40" s="326">
        <v>0.03</v>
      </c>
      <c r="R40" s="326">
        <v>0.03</v>
      </c>
      <c r="S40" s="326">
        <v>0.04</v>
      </c>
      <c r="T40" s="326">
        <v>0.04</v>
      </c>
      <c r="U40" s="326">
        <v>0.04</v>
      </c>
      <c r="V40" s="326">
        <v>0.04</v>
      </c>
      <c r="W40" s="326">
        <v>0.04</v>
      </c>
      <c r="X40" s="326">
        <v>0.04</v>
      </c>
      <c r="Y40" s="326">
        <v>0.04</v>
      </c>
      <c r="Z40" s="326">
        <v>0.04</v>
      </c>
      <c r="AA40" s="326">
        <v>0.04</v>
      </c>
      <c r="AB40" s="326">
        <v>0.04</v>
      </c>
      <c r="AC40" s="326">
        <v>0.04</v>
      </c>
      <c r="AD40" s="326">
        <v>0.04</v>
      </c>
      <c r="AE40" s="499">
        <v>0.04</v>
      </c>
      <c r="AF40" s="326"/>
      <c r="AG40" s="150">
        <f t="shared" si="0"/>
        <v>1.0000000000000004</v>
      </c>
      <c r="AH40" s="150">
        <f t="shared" si="1"/>
        <v>0</v>
      </c>
      <c r="AI40" s="128"/>
      <c r="AJ40" s="128"/>
      <c r="AK40" s="128"/>
      <c r="AL40" s="128"/>
      <c r="AM40" s="128"/>
      <c r="AN40" s="128"/>
      <c r="AO40" s="128"/>
      <c r="AP40" s="128"/>
    </row>
    <row r="41" spans="1:42" s="122" customFormat="1" ht="15" customHeight="1">
      <c r="A41" s="231"/>
      <c r="B41" s="232"/>
      <c r="C41" s="232"/>
      <c r="D41" s="238" t="s">
        <v>98</v>
      </c>
      <c r="E41" s="295"/>
      <c r="F41" s="295"/>
      <c r="G41" s="296"/>
      <c r="H41" s="123"/>
      <c r="I41" s="125"/>
      <c r="J41" s="123"/>
      <c r="K41" s="123">
        <v>0.04</v>
      </c>
      <c r="L41" s="326">
        <v>0.04</v>
      </c>
      <c r="M41" s="326">
        <v>0.04</v>
      </c>
      <c r="N41" s="326">
        <v>0.04</v>
      </c>
      <c r="O41" s="326">
        <v>0.04</v>
      </c>
      <c r="P41" s="326">
        <v>0.05</v>
      </c>
      <c r="Q41" s="326">
        <v>0.05</v>
      </c>
      <c r="R41" s="326">
        <v>0.05</v>
      </c>
      <c r="S41" s="326">
        <v>0.05</v>
      </c>
      <c r="T41" s="326">
        <v>0.05</v>
      </c>
      <c r="U41" s="326">
        <v>0.05</v>
      </c>
      <c r="V41" s="326">
        <v>0.05</v>
      </c>
      <c r="W41" s="326">
        <v>0.05</v>
      </c>
      <c r="X41" s="326">
        <v>0.05</v>
      </c>
      <c r="Y41" s="326">
        <v>0.05</v>
      </c>
      <c r="Z41" s="326">
        <v>0.05</v>
      </c>
      <c r="AA41" s="326">
        <v>0.05</v>
      </c>
      <c r="AB41" s="326">
        <v>0.05</v>
      </c>
      <c r="AC41" s="326">
        <v>0.05</v>
      </c>
      <c r="AD41" s="326">
        <v>0.05</v>
      </c>
      <c r="AE41" s="499">
        <v>0.05</v>
      </c>
      <c r="AF41" s="326"/>
      <c r="AG41" s="150">
        <f t="shared" ref="AG41:AG48" si="2">SUM(H41:AE41)</f>
        <v>1.0000000000000002</v>
      </c>
      <c r="AH41" s="150">
        <f t="shared" si="1"/>
        <v>0</v>
      </c>
      <c r="AI41" s="128"/>
      <c r="AJ41" s="128"/>
      <c r="AK41" s="128"/>
      <c r="AL41" s="128"/>
      <c r="AM41" s="128"/>
      <c r="AN41" s="128"/>
      <c r="AO41" s="128"/>
      <c r="AP41" s="128"/>
    </row>
    <row r="42" spans="1:42" s="122" customFormat="1" ht="15.75">
      <c r="A42" s="231"/>
      <c r="B42" s="232"/>
      <c r="C42" s="232"/>
      <c r="D42" s="209" t="s">
        <v>96</v>
      </c>
      <c r="E42" s="295"/>
      <c r="F42" s="295"/>
      <c r="G42" s="296"/>
      <c r="H42" s="123"/>
      <c r="I42" s="125"/>
      <c r="J42" s="123"/>
      <c r="K42" s="123"/>
      <c r="L42" s="123"/>
      <c r="M42" s="327">
        <v>0.06</v>
      </c>
      <c r="N42" s="327">
        <v>0.05</v>
      </c>
      <c r="O42" s="327">
        <v>0.05</v>
      </c>
      <c r="P42" s="327">
        <v>0.05</v>
      </c>
      <c r="Q42" s="327">
        <v>0.06</v>
      </c>
      <c r="R42" s="327">
        <v>0.05</v>
      </c>
      <c r="S42" s="327">
        <v>0.05</v>
      </c>
      <c r="T42" s="327">
        <v>0.05</v>
      </c>
      <c r="U42" s="327">
        <v>0.06</v>
      </c>
      <c r="V42" s="327">
        <v>0.05</v>
      </c>
      <c r="W42" s="327">
        <v>0.05</v>
      </c>
      <c r="X42" s="327">
        <v>0.05</v>
      </c>
      <c r="Y42" s="327">
        <v>0.06</v>
      </c>
      <c r="Z42" s="327">
        <v>0.05</v>
      </c>
      <c r="AA42" s="327">
        <v>0.05</v>
      </c>
      <c r="AB42" s="327">
        <v>0.05</v>
      </c>
      <c r="AC42" s="327">
        <v>0.06</v>
      </c>
      <c r="AD42" s="327">
        <v>0.05</v>
      </c>
      <c r="AE42" s="500">
        <v>0.05</v>
      </c>
      <c r="AF42" s="503"/>
      <c r="AG42" s="150">
        <f t="shared" si="2"/>
        <v>1.0000000000000004</v>
      </c>
      <c r="AH42" s="150">
        <f t="shared" si="1"/>
        <v>0</v>
      </c>
      <c r="AI42" s="128"/>
      <c r="AJ42" s="128"/>
      <c r="AK42" s="128"/>
      <c r="AL42" s="128"/>
      <c r="AM42" s="128"/>
      <c r="AN42" s="128"/>
      <c r="AO42" s="128"/>
      <c r="AP42" s="128"/>
    </row>
    <row r="43" spans="1:42" s="122" customFormat="1" ht="30">
      <c r="A43" s="231"/>
      <c r="B43" s="232"/>
      <c r="C43" s="232"/>
      <c r="D43" s="243" t="s">
        <v>99</v>
      </c>
      <c r="E43" s="295"/>
      <c r="F43" s="295"/>
      <c r="G43" s="296"/>
      <c r="H43" s="123"/>
      <c r="I43" s="125"/>
      <c r="J43" s="123"/>
      <c r="K43" s="123">
        <v>0.13</v>
      </c>
      <c r="L43" s="326">
        <v>0.12</v>
      </c>
      <c r="M43" s="326">
        <v>0.12</v>
      </c>
      <c r="N43" s="326">
        <v>0.13</v>
      </c>
      <c r="O43" s="326">
        <v>0.12</v>
      </c>
      <c r="P43" s="326">
        <v>0.12</v>
      </c>
      <c r="Q43" s="326">
        <v>0.13</v>
      </c>
      <c r="R43" s="326">
        <v>0.13</v>
      </c>
      <c r="S43" s="123"/>
      <c r="T43" s="123"/>
      <c r="U43" s="125"/>
      <c r="V43" s="123"/>
      <c r="W43" s="123"/>
      <c r="X43" s="123"/>
      <c r="Y43" s="125"/>
      <c r="Z43" s="123"/>
      <c r="AA43" s="123"/>
      <c r="AB43" s="140"/>
      <c r="AC43" s="125"/>
      <c r="AD43" s="123"/>
      <c r="AE43" s="140"/>
      <c r="AF43" s="123"/>
      <c r="AG43" s="150">
        <f>SUM(H43:AE43)</f>
        <v>1</v>
      </c>
      <c r="AH43" s="150"/>
      <c r="AI43" s="128"/>
      <c r="AJ43" s="128"/>
      <c r="AK43" s="128"/>
      <c r="AL43" s="128"/>
      <c r="AM43" s="128"/>
      <c r="AN43" s="128"/>
      <c r="AO43" s="128"/>
      <c r="AP43" s="128"/>
    </row>
    <row r="44" spans="1:42" s="122" customFormat="1" ht="15.75">
      <c r="A44" s="231"/>
      <c r="B44" s="232"/>
      <c r="C44" s="232"/>
      <c r="D44" s="243" t="s">
        <v>107</v>
      </c>
      <c r="E44" s="295"/>
      <c r="F44" s="295"/>
      <c r="G44" s="296"/>
      <c r="H44" s="123"/>
      <c r="I44" s="125"/>
      <c r="J44" s="123"/>
      <c r="K44" s="123"/>
      <c r="L44" s="123"/>
      <c r="M44" s="125"/>
      <c r="N44" s="123"/>
      <c r="O44" s="326">
        <v>0.13</v>
      </c>
      <c r="P44" s="326">
        <v>0.12</v>
      </c>
      <c r="Q44" s="326">
        <v>0.12</v>
      </c>
      <c r="R44" s="326">
        <v>0.13</v>
      </c>
      <c r="S44" s="326">
        <v>0.12</v>
      </c>
      <c r="T44" s="326">
        <v>0.12</v>
      </c>
      <c r="U44" s="326">
        <v>0.13</v>
      </c>
      <c r="V44" s="326">
        <v>0.13</v>
      </c>
      <c r="W44" s="123"/>
      <c r="X44" s="123"/>
      <c r="Y44" s="125"/>
      <c r="Z44" s="123"/>
      <c r="AA44" s="123"/>
      <c r="AB44" s="140"/>
      <c r="AC44" s="125"/>
      <c r="AD44" s="123"/>
      <c r="AE44" s="140"/>
      <c r="AF44" s="123"/>
      <c r="AG44" s="150">
        <f>SUM(H44:AE44)</f>
        <v>1</v>
      </c>
      <c r="AH44" s="150"/>
      <c r="AI44" s="128"/>
      <c r="AJ44" s="128"/>
      <c r="AK44" s="128"/>
      <c r="AL44" s="128"/>
      <c r="AM44" s="128"/>
      <c r="AN44" s="128"/>
      <c r="AO44" s="128"/>
      <c r="AP44" s="128"/>
    </row>
    <row r="45" spans="1:42" s="122" customFormat="1" ht="15" customHeight="1">
      <c r="A45" s="231"/>
      <c r="B45" s="232"/>
      <c r="C45" s="232"/>
      <c r="D45" s="209" t="s">
        <v>110</v>
      </c>
      <c r="E45" s="295"/>
      <c r="F45" s="295"/>
      <c r="G45" s="296"/>
      <c r="H45" s="123"/>
      <c r="I45" s="125"/>
      <c r="J45" s="123"/>
      <c r="K45" s="123"/>
      <c r="L45" s="326">
        <v>0.13</v>
      </c>
      <c r="M45" s="326">
        <v>0.13</v>
      </c>
      <c r="N45" s="326">
        <v>0.13</v>
      </c>
      <c r="O45" s="326">
        <v>0.13</v>
      </c>
      <c r="P45" s="326">
        <v>0.03</v>
      </c>
      <c r="Q45" s="326">
        <v>0.03</v>
      </c>
      <c r="R45" s="326">
        <v>0.03</v>
      </c>
      <c r="S45" s="326">
        <v>0.03</v>
      </c>
      <c r="T45" s="326">
        <v>0.03</v>
      </c>
      <c r="U45" s="326">
        <v>0.03</v>
      </c>
      <c r="V45" s="326">
        <v>0.03</v>
      </c>
      <c r="W45" s="326">
        <v>0.03</v>
      </c>
      <c r="X45" s="326">
        <v>0.03</v>
      </c>
      <c r="Y45" s="326">
        <v>0.03</v>
      </c>
      <c r="Z45" s="326">
        <v>0.03</v>
      </c>
      <c r="AA45" s="326">
        <v>0.03</v>
      </c>
      <c r="AB45" s="326">
        <v>0.03</v>
      </c>
      <c r="AC45" s="326">
        <v>0.03</v>
      </c>
      <c r="AD45" s="326">
        <v>0.03</v>
      </c>
      <c r="AE45" s="499">
        <v>0.03</v>
      </c>
      <c r="AF45" s="326"/>
      <c r="AG45" s="150">
        <f t="shared" si="2"/>
        <v>1.0000000000000004</v>
      </c>
      <c r="AH45" s="150">
        <f t="shared" si="1"/>
        <v>0</v>
      </c>
      <c r="AI45" s="128"/>
      <c r="AJ45" s="128"/>
      <c r="AK45" s="128"/>
      <c r="AL45" s="128"/>
      <c r="AM45" s="128"/>
      <c r="AN45" s="128"/>
      <c r="AO45" s="128"/>
      <c r="AP45" s="128"/>
    </row>
    <row r="46" spans="1:42" s="122" customFormat="1" ht="30">
      <c r="A46" s="186"/>
      <c r="B46" s="226"/>
      <c r="C46" s="226"/>
      <c r="D46" s="233" t="s">
        <v>101</v>
      </c>
      <c r="E46" s="297"/>
      <c r="F46" s="297"/>
      <c r="G46" s="298"/>
      <c r="H46" s="123"/>
      <c r="I46" s="125"/>
      <c r="J46" s="123">
        <v>0.05</v>
      </c>
      <c r="K46" s="123">
        <v>0.05</v>
      </c>
      <c r="L46" s="326">
        <v>0.05</v>
      </c>
      <c r="M46" s="326">
        <v>0.05</v>
      </c>
      <c r="N46" s="326">
        <v>0.1</v>
      </c>
      <c r="O46" s="326">
        <v>0.05</v>
      </c>
      <c r="P46" s="326">
        <v>0.04</v>
      </c>
      <c r="Q46" s="326">
        <v>0.04</v>
      </c>
      <c r="R46" s="326">
        <v>0.04</v>
      </c>
      <c r="S46" s="326">
        <v>0.04</v>
      </c>
      <c r="T46" s="326">
        <v>0.04</v>
      </c>
      <c r="U46" s="326">
        <v>0.04</v>
      </c>
      <c r="V46" s="326">
        <v>0.04</v>
      </c>
      <c r="W46" s="326">
        <v>0.05</v>
      </c>
      <c r="X46" s="326">
        <v>0.04</v>
      </c>
      <c r="Y46" s="326">
        <v>0.04</v>
      </c>
      <c r="Z46" s="326">
        <v>0.04</v>
      </c>
      <c r="AA46" s="326">
        <v>0.04</v>
      </c>
      <c r="AB46" s="326">
        <v>0.04</v>
      </c>
      <c r="AC46" s="326">
        <v>0.04</v>
      </c>
      <c r="AD46" s="326">
        <v>0.04</v>
      </c>
      <c r="AE46" s="499">
        <v>0.04</v>
      </c>
      <c r="AF46" s="326"/>
      <c r="AG46" s="150">
        <f t="shared" si="2"/>
        <v>1.0000000000000004</v>
      </c>
      <c r="AH46" s="150">
        <f t="shared" si="1"/>
        <v>0</v>
      </c>
      <c r="AI46" s="128"/>
      <c r="AJ46" s="128"/>
      <c r="AK46" s="128"/>
      <c r="AL46" s="128"/>
      <c r="AM46" s="128"/>
      <c r="AN46" s="128"/>
      <c r="AO46" s="128"/>
      <c r="AP46" s="128"/>
    </row>
    <row r="47" spans="1:42" s="122" customFormat="1" ht="15" customHeight="1" thickBot="1">
      <c r="A47" s="186"/>
      <c r="B47" s="226"/>
      <c r="C47" s="226"/>
      <c r="D47" s="238" t="s">
        <v>102</v>
      </c>
      <c r="E47" s="299"/>
      <c r="F47" s="299"/>
      <c r="G47" s="300"/>
      <c r="H47" s="123"/>
      <c r="I47" s="125"/>
      <c r="J47" s="123"/>
      <c r="K47" s="123"/>
      <c r="L47" s="123"/>
      <c r="M47" s="125"/>
      <c r="O47" s="326">
        <v>0.3</v>
      </c>
      <c r="P47" s="326">
        <v>0.2</v>
      </c>
      <c r="Q47" s="326">
        <v>0.2</v>
      </c>
      <c r="R47" s="328">
        <v>0.3</v>
      </c>
      <c r="S47" s="123"/>
      <c r="T47" s="123"/>
      <c r="U47" s="125"/>
      <c r="V47" s="123"/>
      <c r="W47" s="123"/>
      <c r="X47" s="123"/>
      <c r="Y47" s="125"/>
      <c r="Z47" s="123"/>
      <c r="AA47" s="123"/>
      <c r="AB47" s="140"/>
      <c r="AC47" s="125"/>
      <c r="AD47" s="123"/>
      <c r="AE47" s="140"/>
      <c r="AF47" s="123"/>
      <c r="AG47" s="150">
        <f t="shared" si="2"/>
        <v>1</v>
      </c>
      <c r="AH47" s="150">
        <f t="shared" si="1"/>
        <v>0</v>
      </c>
      <c r="AI47" s="128"/>
      <c r="AJ47" s="128"/>
      <c r="AK47" s="128"/>
      <c r="AL47" s="128"/>
      <c r="AM47" s="128"/>
      <c r="AN47" s="128"/>
      <c r="AO47" s="128"/>
      <c r="AP47" s="128"/>
    </row>
    <row r="48" spans="1:42" s="122" customFormat="1" ht="15" customHeight="1">
      <c r="A48" s="186"/>
      <c r="B48" s="226"/>
      <c r="C48" s="226"/>
      <c r="D48" s="209" t="s">
        <v>103</v>
      </c>
      <c r="E48" s="301"/>
      <c r="F48" s="301"/>
      <c r="G48" s="302"/>
      <c r="H48" s="123"/>
      <c r="I48" s="125"/>
      <c r="J48" s="123"/>
      <c r="K48" s="123"/>
      <c r="L48" s="326">
        <v>0.15</v>
      </c>
      <c r="M48" s="328">
        <v>0.2</v>
      </c>
      <c r="N48" s="326">
        <v>0.3</v>
      </c>
      <c r="O48" s="326">
        <v>7.0000000000000007E-2</v>
      </c>
      <c r="P48" s="326">
        <v>7.0000000000000007E-2</v>
      </c>
      <c r="Q48" s="326">
        <v>7.0000000000000007E-2</v>
      </c>
      <c r="R48" s="326">
        <v>7.0000000000000007E-2</v>
      </c>
      <c r="S48" s="326">
        <v>7.0000000000000007E-2</v>
      </c>
      <c r="T48" s="323"/>
      <c r="U48" s="323"/>
      <c r="V48" s="323"/>
      <c r="W48" s="323"/>
      <c r="Y48" s="125"/>
      <c r="Z48" s="123"/>
      <c r="AA48" s="123"/>
      <c r="AB48" s="140"/>
      <c r="AC48" s="125"/>
      <c r="AD48" s="123"/>
      <c r="AE48" s="140"/>
      <c r="AF48" s="123"/>
      <c r="AG48" s="150">
        <f t="shared" si="2"/>
        <v>1.0000000000000002</v>
      </c>
      <c r="AH48" s="150">
        <f t="shared" si="1"/>
        <v>0</v>
      </c>
      <c r="AI48" s="128"/>
      <c r="AJ48" s="128"/>
      <c r="AK48" s="128"/>
      <c r="AL48" s="128"/>
      <c r="AM48" s="128"/>
      <c r="AN48" s="128"/>
      <c r="AO48" s="128"/>
      <c r="AP48" s="128"/>
    </row>
    <row r="49" spans="1:74" s="122" customFormat="1" ht="16.5" customHeight="1" thickBot="1">
      <c r="A49" s="186"/>
      <c r="B49" s="226"/>
      <c r="C49" s="226"/>
      <c r="D49" s="238" t="s">
        <v>104</v>
      </c>
      <c r="E49" s="301"/>
      <c r="F49" s="301"/>
      <c r="G49" s="302"/>
      <c r="H49" s="123"/>
      <c r="I49" s="125"/>
      <c r="J49" s="123"/>
      <c r="K49" s="123"/>
      <c r="L49" s="326">
        <v>0.1</v>
      </c>
      <c r="M49" s="328">
        <v>0.4</v>
      </c>
      <c r="N49" s="326">
        <v>0.2</v>
      </c>
      <c r="O49" s="326">
        <v>0.06</v>
      </c>
      <c r="P49" s="326">
        <v>0.06</v>
      </c>
      <c r="Q49" s="326">
        <v>0.06</v>
      </c>
      <c r="R49" s="326">
        <v>0.06</v>
      </c>
      <c r="S49" s="326">
        <v>0.06</v>
      </c>
      <c r="T49" s="123"/>
      <c r="U49" s="125"/>
      <c r="V49" s="123"/>
      <c r="W49" s="123"/>
      <c r="X49" s="123"/>
      <c r="Y49" s="125"/>
      <c r="Z49" s="123"/>
      <c r="AA49" s="123"/>
      <c r="AB49" s="140"/>
      <c r="AC49" s="125"/>
      <c r="AD49" s="123"/>
      <c r="AE49" s="140"/>
      <c r="AF49" s="123"/>
      <c r="AG49" s="150"/>
      <c r="AH49" s="150"/>
      <c r="AI49" s="128"/>
      <c r="AJ49" s="128"/>
      <c r="AK49" s="128"/>
      <c r="AL49" s="128"/>
      <c r="AM49" s="128"/>
      <c r="AN49" s="128"/>
      <c r="AO49" s="128"/>
      <c r="AP49" s="128"/>
    </row>
    <row r="50" spans="1:74" s="119" customFormat="1" ht="15" customHeight="1">
      <c r="A50" s="374" t="s">
        <v>20</v>
      </c>
      <c r="B50" s="831" t="s">
        <v>173</v>
      </c>
      <c r="C50" s="832"/>
      <c r="D50" s="833"/>
      <c r="E50" s="375" t="s">
        <v>41</v>
      </c>
      <c r="F50" s="375" t="s">
        <v>41</v>
      </c>
      <c r="G50" s="376" t="s">
        <v>41</v>
      </c>
      <c r="H50" s="123"/>
      <c r="I50" s="125"/>
      <c r="J50" s="123"/>
      <c r="K50" s="123"/>
      <c r="L50" s="365"/>
      <c r="M50" s="366"/>
      <c r="N50" s="365"/>
      <c r="O50" s="365"/>
      <c r="P50" s="365"/>
      <c r="Q50" s="366"/>
      <c r="R50" s="365"/>
      <c r="S50" s="365"/>
      <c r="T50" s="365"/>
      <c r="U50" s="366"/>
      <c r="V50" s="365"/>
      <c r="W50" s="365"/>
      <c r="X50" s="365"/>
      <c r="Y50" s="366"/>
      <c r="Z50" s="365"/>
      <c r="AA50" s="365"/>
      <c r="AB50" s="367"/>
      <c r="AC50" s="366"/>
      <c r="AD50" s="365"/>
      <c r="AE50" s="367"/>
      <c r="AF50" s="365"/>
      <c r="AG50" s="150">
        <f t="shared" ref="AG50:AG55" si="3">SUM(H50:AE50)</f>
        <v>0</v>
      </c>
      <c r="AH50" s="150">
        <f t="shared" si="1"/>
        <v>1</v>
      </c>
      <c r="AI50" s="145"/>
      <c r="AJ50" s="145"/>
      <c r="AK50" s="145"/>
      <c r="AL50" s="145"/>
      <c r="AM50" s="145"/>
      <c r="AN50" s="145"/>
      <c r="AO50" s="145"/>
      <c r="AP50" s="145"/>
    </row>
    <row r="51" spans="1:74" s="122" customFormat="1" ht="15" customHeight="1">
      <c r="A51" s="186"/>
      <c r="B51" s="187"/>
      <c r="C51" s="187"/>
      <c r="D51" s="209" t="s">
        <v>50</v>
      </c>
      <c r="E51" s="272" t="s">
        <v>51</v>
      </c>
      <c r="F51" s="273">
        <v>3</v>
      </c>
      <c r="G51" s="274">
        <v>80000</v>
      </c>
      <c r="H51" s="123"/>
      <c r="I51" s="125"/>
      <c r="J51" s="123"/>
      <c r="K51" s="123"/>
      <c r="L51" s="154">
        <v>0.05</v>
      </c>
      <c r="M51" s="125"/>
      <c r="N51" s="154">
        <v>0.15</v>
      </c>
      <c r="O51" s="123"/>
      <c r="P51" s="154">
        <v>0.05</v>
      </c>
      <c r="Q51" s="125"/>
      <c r="R51" s="154">
        <v>0.15</v>
      </c>
      <c r="S51" s="123"/>
      <c r="T51" s="154">
        <v>0.05</v>
      </c>
      <c r="U51" s="125"/>
      <c r="V51" s="154">
        <v>0.15</v>
      </c>
      <c r="W51" s="123"/>
      <c r="X51" s="154">
        <v>0.05</v>
      </c>
      <c r="Y51" s="125"/>
      <c r="Z51" s="154">
        <v>0.15</v>
      </c>
      <c r="AA51" s="123"/>
      <c r="AB51" s="154">
        <v>0.05</v>
      </c>
      <c r="AC51" s="125"/>
      <c r="AD51" s="154">
        <v>0.15</v>
      </c>
      <c r="AE51" s="140"/>
      <c r="AF51" s="123"/>
      <c r="AG51" s="150">
        <f t="shared" si="3"/>
        <v>1</v>
      </c>
      <c r="AH51" s="150">
        <f t="shared" si="1"/>
        <v>0</v>
      </c>
      <c r="AI51" s="128"/>
      <c r="AJ51" s="128"/>
      <c r="AK51" s="128"/>
      <c r="AL51" s="128"/>
      <c r="AM51" s="128"/>
      <c r="AN51" s="128"/>
      <c r="AO51" s="128"/>
      <c r="AP51" s="128"/>
    </row>
    <row r="52" spans="1:74" s="122" customFormat="1" ht="15" customHeight="1" thickBot="1">
      <c r="A52" s="186"/>
      <c r="B52" s="187"/>
      <c r="C52" s="187"/>
      <c r="D52" s="209" t="s">
        <v>52</v>
      </c>
      <c r="E52" s="272"/>
      <c r="F52" s="273"/>
      <c r="G52" s="274"/>
      <c r="H52" s="371"/>
      <c r="I52" s="372"/>
      <c r="J52" s="371"/>
      <c r="K52" s="371">
        <v>0.16</v>
      </c>
      <c r="L52" s="371"/>
      <c r="M52" s="372"/>
      <c r="N52" s="371"/>
      <c r="O52" s="371">
        <v>0.16</v>
      </c>
      <c r="P52" s="371"/>
      <c r="Q52" s="372"/>
      <c r="R52" s="371"/>
      <c r="S52" s="371">
        <v>0.16</v>
      </c>
      <c r="T52" s="371"/>
      <c r="U52" s="372"/>
      <c r="V52" s="371"/>
      <c r="W52" s="371">
        <v>0.16</v>
      </c>
      <c r="X52" s="371"/>
      <c r="Y52" s="372"/>
      <c r="Z52" s="371"/>
      <c r="AA52" s="371">
        <v>0.16</v>
      </c>
      <c r="AB52" s="373"/>
      <c r="AC52" s="372"/>
      <c r="AD52" s="371"/>
      <c r="AE52" s="373">
        <v>0.2</v>
      </c>
      <c r="AF52" s="123"/>
      <c r="AG52" s="150">
        <f t="shared" si="3"/>
        <v>1</v>
      </c>
      <c r="AH52" s="150">
        <f t="shared" si="1"/>
        <v>0</v>
      </c>
      <c r="AI52" s="128"/>
      <c r="AJ52" s="128"/>
      <c r="AK52" s="128"/>
      <c r="AL52" s="128"/>
      <c r="AM52" s="128"/>
      <c r="AN52" s="128"/>
      <c r="AO52" s="128"/>
      <c r="AP52" s="128"/>
    </row>
    <row r="53" spans="1:74" s="119" customFormat="1" ht="15" customHeight="1">
      <c r="A53" s="179" t="s">
        <v>24</v>
      </c>
      <c r="B53" s="850" t="s">
        <v>171</v>
      </c>
      <c r="C53" s="804"/>
      <c r="D53" s="805"/>
      <c r="E53" s="266" t="s">
        <v>41</v>
      </c>
      <c r="F53" s="266" t="s">
        <v>41</v>
      </c>
      <c r="G53" s="303" t="s">
        <v>41</v>
      </c>
      <c r="H53" s="123"/>
      <c r="I53" s="123"/>
      <c r="J53" s="123"/>
      <c r="K53" s="123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7"/>
      <c r="AF53" s="365"/>
      <c r="AG53" s="150">
        <f t="shared" si="3"/>
        <v>0</v>
      </c>
      <c r="AH53" s="128"/>
      <c r="AI53" s="128"/>
      <c r="AJ53" s="128"/>
      <c r="AK53" s="128"/>
      <c r="AL53" s="128"/>
      <c r="AM53" s="128"/>
      <c r="AN53" s="128"/>
      <c r="AO53" s="128"/>
      <c r="AP53" s="128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</row>
    <row r="54" spans="1:74" s="122" customFormat="1" ht="15" customHeight="1" thickBot="1">
      <c r="A54" s="186"/>
      <c r="B54" s="187"/>
      <c r="C54" s="187"/>
      <c r="D54" s="209" t="s">
        <v>53</v>
      </c>
      <c r="E54" s="272"/>
      <c r="F54" s="273"/>
      <c r="G54" s="304"/>
      <c r="H54" s="123"/>
      <c r="I54" s="123"/>
      <c r="J54" s="123">
        <v>0.04</v>
      </c>
      <c r="K54" s="123">
        <v>0.04</v>
      </c>
      <c r="L54" s="377">
        <v>0.04</v>
      </c>
      <c r="M54" s="377">
        <v>0.04</v>
      </c>
      <c r="N54" s="377">
        <v>0.04</v>
      </c>
      <c r="O54" s="377">
        <v>0.04</v>
      </c>
      <c r="P54" s="377">
        <v>0.04</v>
      </c>
      <c r="Q54" s="377">
        <v>0.04</v>
      </c>
      <c r="R54" s="377">
        <v>0.04</v>
      </c>
      <c r="S54" s="377">
        <v>0.04</v>
      </c>
      <c r="T54" s="377">
        <v>0.05</v>
      </c>
      <c r="U54" s="377">
        <v>0.05</v>
      </c>
      <c r="V54" s="377">
        <v>0.05</v>
      </c>
      <c r="W54" s="377">
        <v>0.05</v>
      </c>
      <c r="X54" s="377">
        <v>0.05</v>
      </c>
      <c r="Y54" s="377">
        <v>0.05</v>
      </c>
      <c r="Z54" s="377">
        <v>0.05</v>
      </c>
      <c r="AA54" s="377">
        <v>0.05</v>
      </c>
      <c r="AB54" s="377">
        <v>0.05</v>
      </c>
      <c r="AC54" s="377">
        <v>0.05</v>
      </c>
      <c r="AD54" s="377">
        <v>0.05</v>
      </c>
      <c r="AE54" s="501">
        <v>0.05</v>
      </c>
      <c r="AF54" s="377"/>
      <c r="AG54" s="150">
        <f t="shared" si="3"/>
        <v>1.0000000000000002</v>
      </c>
      <c r="AH54" s="128"/>
      <c r="AI54" s="128"/>
      <c r="AJ54" s="128"/>
      <c r="AK54" s="128"/>
      <c r="AL54" s="128"/>
      <c r="AM54" s="128"/>
      <c r="AN54" s="128"/>
      <c r="AO54" s="128"/>
      <c r="AP54" s="128"/>
    </row>
    <row r="55" spans="1:74" s="122" customFormat="1" ht="21" customHeight="1" thickBot="1">
      <c r="A55" s="853" t="s">
        <v>54</v>
      </c>
      <c r="B55" s="854"/>
      <c r="C55" s="854"/>
      <c r="D55" s="855"/>
      <c r="E55" s="305" t="s">
        <v>41</v>
      </c>
      <c r="F55" s="305" t="s">
        <v>41</v>
      </c>
      <c r="G55" s="306" t="s">
        <v>41</v>
      </c>
      <c r="H55" s="123"/>
      <c r="I55" s="123"/>
      <c r="J55" s="123"/>
      <c r="K55" s="123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498"/>
      <c r="AF55" s="324"/>
      <c r="AG55" s="150">
        <f t="shared" si="3"/>
        <v>0</v>
      </c>
      <c r="AH55" s="128"/>
      <c r="AI55" s="128"/>
      <c r="AJ55" s="128"/>
      <c r="AK55" s="128"/>
      <c r="AL55" s="128"/>
      <c r="AM55" s="128"/>
      <c r="AN55" s="128"/>
      <c r="AO55" s="128"/>
      <c r="AP55" s="128"/>
    </row>
    <row r="56" spans="1:74" ht="6.75" customHeight="1">
      <c r="A56" s="130"/>
      <c r="B56" s="130"/>
      <c r="C56" s="130"/>
      <c r="E56" s="307"/>
      <c r="F56" s="307"/>
      <c r="G56" s="130"/>
    </row>
    <row r="57" spans="1:74" ht="18.75" customHeight="1">
      <c r="A57" s="130"/>
      <c r="B57" s="130"/>
      <c r="C57" s="130"/>
      <c r="E57" s="307"/>
      <c r="F57" s="307"/>
      <c r="G57" s="130"/>
    </row>
    <row r="58" spans="1:74" ht="19.5" customHeight="1">
      <c r="A58" s="130"/>
      <c r="B58" s="130"/>
      <c r="C58" s="130"/>
      <c r="E58" s="307"/>
      <c r="F58" s="307"/>
      <c r="G58" s="130"/>
    </row>
    <row r="59" spans="1:74" ht="28.5" customHeight="1">
      <c r="A59" s="130"/>
      <c r="B59" s="130"/>
      <c r="C59" s="130"/>
      <c r="E59" s="307"/>
      <c r="F59" s="307"/>
      <c r="G59" s="130"/>
    </row>
    <row r="60" spans="1:74" ht="17.25" customHeight="1">
      <c r="A60" s="130"/>
      <c r="B60" s="130"/>
      <c r="C60" s="130"/>
      <c r="E60" s="307"/>
      <c r="F60" s="307"/>
      <c r="G60" s="130"/>
    </row>
    <row r="61" spans="1:74" ht="6.75" customHeight="1" thickBot="1">
      <c r="A61" s="130"/>
      <c r="B61" s="130"/>
      <c r="C61" s="130"/>
      <c r="E61" s="307"/>
      <c r="F61" s="307"/>
      <c r="G61" s="130"/>
    </row>
    <row r="62" spans="1:74" s="122" customFormat="1" ht="15" customHeight="1" thickBot="1">
      <c r="A62" s="490"/>
      <c r="B62" s="490"/>
      <c r="C62" s="490"/>
      <c r="D62" s="491"/>
      <c r="E62" s="490"/>
      <c r="F62" s="492"/>
      <c r="G62" s="490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H62" s="128"/>
      <c r="AI62" s="128"/>
      <c r="AJ62" s="128"/>
      <c r="AK62" s="128"/>
      <c r="AL62" s="128"/>
      <c r="AM62" s="128"/>
      <c r="AN62" s="128"/>
      <c r="AO62" s="128"/>
      <c r="AP62" s="128"/>
    </row>
    <row r="63" spans="1:74" ht="15" customHeight="1">
      <c r="A63" s="130"/>
      <c r="B63" s="130"/>
      <c r="C63" s="130"/>
      <c r="D63" s="132"/>
      <c r="E63" s="130"/>
      <c r="F63" s="307"/>
      <c r="G63" s="130"/>
    </row>
    <row r="64" spans="1:74" ht="15" customHeight="1">
      <c r="A64" s="130"/>
      <c r="B64" s="130"/>
      <c r="C64" s="130"/>
      <c r="D64" s="132"/>
      <c r="E64" s="130"/>
      <c r="F64" s="307"/>
      <c r="G64" s="130"/>
    </row>
    <row r="65" spans="1:7" ht="15" customHeight="1">
      <c r="A65" s="130"/>
      <c r="B65" s="130"/>
      <c r="C65" s="130"/>
      <c r="D65" s="132"/>
      <c r="E65" s="130"/>
      <c r="F65" s="307"/>
      <c r="G65" s="130"/>
    </row>
    <row r="66" spans="1:7" ht="15" customHeight="1">
      <c r="A66" s="130"/>
      <c r="B66" s="130"/>
      <c r="C66" s="130"/>
      <c r="E66" s="130"/>
      <c r="F66" s="307"/>
      <c r="G66" s="130"/>
    </row>
    <row r="67" spans="1:7" ht="15" customHeight="1">
      <c r="A67" s="130"/>
      <c r="B67" s="130"/>
      <c r="C67" s="130"/>
      <c r="E67" s="130"/>
      <c r="F67" s="307"/>
      <c r="G67" s="130"/>
    </row>
    <row r="68" spans="1:7" ht="15" customHeight="1">
      <c r="A68" s="130"/>
      <c r="B68" s="130"/>
      <c r="C68" s="130"/>
      <c r="D68" s="133"/>
      <c r="E68" s="130"/>
      <c r="F68" s="307"/>
      <c r="G68" s="130"/>
    </row>
    <row r="69" spans="1:7" ht="15" customHeight="1">
      <c r="A69" s="130"/>
      <c r="B69" s="130"/>
      <c r="C69" s="130"/>
      <c r="D69" s="133"/>
      <c r="E69" s="130"/>
      <c r="F69" s="307"/>
      <c r="G69" s="130"/>
    </row>
    <row r="70" spans="1:7" ht="15" customHeight="1">
      <c r="A70" s="130"/>
      <c r="B70" s="130"/>
      <c r="C70" s="130"/>
      <c r="D70" s="132"/>
      <c r="E70" s="130"/>
      <c r="F70" s="307"/>
      <c r="G70" s="130"/>
    </row>
    <row r="71" spans="1:7" ht="15" customHeight="1">
      <c r="A71" s="130"/>
      <c r="B71" s="130"/>
      <c r="C71" s="130"/>
      <c r="D71" s="132"/>
      <c r="E71" s="130"/>
      <c r="F71" s="307"/>
      <c r="G71" s="130"/>
    </row>
    <row r="72" spans="1:7" ht="15" customHeight="1">
      <c r="A72" s="130"/>
      <c r="B72" s="130"/>
      <c r="C72" s="130"/>
      <c r="D72" s="132"/>
      <c r="E72" s="130"/>
      <c r="F72" s="307"/>
      <c r="G72" s="130"/>
    </row>
    <row r="73" spans="1:7" ht="15" customHeight="1">
      <c r="A73" s="130"/>
      <c r="B73" s="130"/>
      <c r="C73" s="130"/>
      <c r="D73" s="132"/>
      <c r="E73" s="130"/>
      <c r="F73" s="307"/>
      <c r="G73" s="130"/>
    </row>
    <row r="74" spans="1:7" ht="15" customHeight="1">
      <c r="A74" s="130"/>
      <c r="B74" s="130"/>
      <c r="C74" s="130"/>
      <c r="D74" s="132"/>
      <c r="E74" s="130"/>
      <c r="F74" s="307"/>
      <c r="G74" s="130"/>
    </row>
    <row r="75" spans="1:7" ht="15" customHeight="1">
      <c r="A75" s="130"/>
      <c r="B75" s="130"/>
      <c r="C75" s="130"/>
      <c r="D75" s="132"/>
      <c r="E75" s="130"/>
      <c r="F75" s="307"/>
      <c r="G75" s="130"/>
    </row>
    <row r="76" spans="1:7" ht="15" customHeight="1">
      <c r="A76" s="130"/>
      <c r="B76" s="130"/>
      <c r="C76" s="130"/>
      <c r="D76" s="132"/>
      <c r="E76" s="130"/>
      <c r="F76" s="307"/>
      <c r="G76" s="130"/>
    </row>
    <row r="77" spans="1:7" ht="15" customHeight="1">
      <c r="D77" s="132"/>
      <c r="E77" s="113"/>
    </row>
    <row r="78" spans="1:7" ht="15" customHeight="1">
      <c r="D78" s="132"/>
      <c r="E78" s="113"/>
    </row>
    <row r="79" spans="1:7" ht="15" customHeight="1">
      <c r="D79" s="132"/>
      <c r="E79" s="113"/>
    </row>
    <row r="80" spans="1:7" ht="15" customHeight="1">
      <c r="D80" s="132"/>
      <c r="E80" s="113"/>
    </row>
    <row r="81" spans="4:7" ht="15" customHeight="1">
      <c r="D81" s="132"/>
      <c r="E81" s="113"/>
    </row>
    <row r="82" spans="4:7" ht="15" customHeight="1">
      <c r="D82" s="132"/>
      <c r="E82" s="113"/>
    </row>
    <row r="83" spans="4:7" ht="15" customHeight="1">
      <c r="D83" s="132"/>
      <c r="E83" s="113"/>
    </row>
    <row r="85" spans="4:7" ht="15" customHeight="1">
      <c r="E85" s="134" t="e">
        <f>#REF!-29078000</f>
        <v>#REF!</v>
      </c>
    </row>
    <row r="90" spans="4:7" ht="15" customHeight="1">
      <c r="G90" s="135" t="e">
        <f>#REF!</f>
        <v>#REF!</v>
      </c>
    </row>
    <row r="93" spans="4:7" ht="15" customHeight="1">
      <c r="D93" s="136">
        <f>325000/1.75</f>
        <v>185714.28571428571</v>
      </c>
    </row>
    <row r="100" spans="3:4" ht="15" customHeight="1">
      <c r="D100" s="130" t="s">
        <v>55</v>
      </c>
    </row>
    <row r="101" spans="3:4" ht="15" customHeight="1">
      <c r="D101" s="130" t="s">
        <v>56</v>
      </c>
    </row>
    <row r="102" spans="3:4" ht="15" customHeight="1">
      <c r="C102" s="130" t="s">
        <v>57</v>
      </c>
    </row>
    <row r="103" spans="3:4" ht="15" customHeight="1">
      <c r="D103" s="137" t="s">
        <v>58</v>
      </c>
    </row>
    <row r="104" spans="3:4" ht="15" customHeight="1">
      <c r="D104" s="137" t="s">
        <v>59</v>
      </c>
    </row>
    <row r="105" spans="3:4" ht="15" customHeight="1">
      <c r="C105" s="130" t="s">
        <v>60</v>
      </c>
      <c r="D105" s="137"/>
    </row>
    <row r="106" spans="3:4" ht="15" customHeight="1">
      <c r="D106" s="137" t="s">
        <v>58</v>
      </c>
    </row>
    <row r="107" spans="3:4" ht="15" customHeight="1">
      <c r="D107" s="137" t="s">
        <v>59</v>
      </c>
    </row>
    <row r="108" spans="3:4" ht="15" customHeight="1">
      <c r="D108" s="137"/>
    </row>
    <row r="109" spans="3:4" ht="15" customHeight="1">
      <c r="D109" s="137"/>
    </row>
    <row r="110" spans="3:4" ht="15" customHeight="1">
      <c r="D110" s="137"/>
    </row>
    <row r="111" spans="3:4" ht="15" customHeight="1">
      <c r="D111" s="137"/>
    </row>
    <row r="112" spans="3:4" ht="15" customHeight="1">
      <c r="D112" s="137"/>
    </row>
  </sheetData>
  <mergeCells count="19">
    <mergeCell ref="B50:D50"/>
    <mergeCell ref="N4:Q4"/>
    <mergeCell ref="B7:D7"/>
    <mergeCell ref="A55:D55"/>
    <mergeCell ref="B39:D39"/>
    <mergeCell ref="B53:D53"/>
    <mergeCell ref="F3:F5"/>
    <mergeCell ref="E3:E5"/>
    <mergeCell ref="B13:D13"/>
    <mergeCell ref="B12:D12"/>
    <mergeCell ref="V4:Y4"/>
    <mergeCell ref="Z4:AC4"/>
    <mergeCell ref="AD4:AE4"/>
    <mergeCell ref="H3:AE3"/>
    <mergeCell ref="B6:D6"/>
    <mergeCell ref="A3:D5"/>
    <mergeCell ref="H4:I4"/>
    <mergeCell ref="J4:M4"/>
    <mergeCell ref="R4:U4"/>
  </mergeCells>
  <phoneticPr fontId="43" type="noConversion"/>
  <pageMargins left="0.35433070866141736" right="0.78740157480314965" top="0.98425196850393704" bottom="0.59055118110236227" header="0.51181102362204722" footer="0.51181102362204722"/>
  <pageSetup scale="54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3"/>
    <pageSetUpPr fitToPage="1"/>
  </sheetPr>
  <dimension ref="A1:BB155"/>
  <sheetViews>
    <sheetView zoomScale="96" zoomScaleNormal="96" workbookViewId="0">
      <selection activeCell="H6" sqref="H6"/>
    </sheetView>
  </sheetViews>
  <sheetFormatPr defaultRowHeight="15" customHeight="1"/>
  <cols>
    <col min="1" max="1" width="4.5703125" style="70" customWidth="1"/>
    <col min="2" max="2" width="2.42578125" style="70" customWidth="1"/>
    <col min="3" max="3" width="2.28515625" style="70" customWidth="1"/>
    <col min="4" max="4" width="51.7109375" style="88" customWidth="1"/>
    <col min="5" max="5" width="7.85546875" style="12" hidden="1" customWidth="1"/>
    <col min="6" max="6" width="9.140625" style="12" hidden="1" customWidth="1"/>
    <col min="7" max="7" width="10.42578125" style="70" hidden="1" customWidth="1"/>
    <col min="8" max="8" width="12.7109375" style="70" bestFit="1" customWidth="1"/>
    <col min="9" max="9" width="14.28515625" style="88" bestFit="1" customWidth="1"/>
    <col min="10" max="10" width="13.42578125" style="70" customWidth="1"/>
    <col min="11" max="11" width="13" style="70" customWidth="1"/>
    <col min="12" max="15" width="10.7109375" style="70" customWidth="1"/>
    <col min="16" max="16" width="12.140625" style="70" customWidth="1"/>
    <col min="17" max="18" width="16.140625" style="70" customWidth="1"/>
    <col min="19" max="21" width="16" style="70" bestFit="1" customWidth="1"/>
    <col min="22" max="16384" width="9.140625" style="70"/>
  </cols>
  <sheetData>
    <row r="1" spans="1:54" ht="15" customHeight="1" thickBot="1">
      <c r="J1" s="515">
        <f>I10*2%</f>
        <v>40</v>
      </c>
    </row>
    <row r="2" spans="1:54" s="66" customFormat="1" ht="16.5" customHeight="1" thickBot="1">
      <c r="A2" s="57" t="s">
        <v>62</v>
      </c>
      <c r="B2" s="57"/>
      <c r="C2" s="57"/>
      <c r="D2" s="58"/>
      <c r="E2" s="57"/>
      <c r="F2" s="59"/>
      <c r="G2" s="60"/>
      <c r="H2" s="61" t="s">
        <v>3</v>
      </c>
      <c r="I2" s="155">
        <v>2</v>
      </c>
      <c r="J2" s="62"/>
      <c r="K2" s="63"/>
      <c r="L2" s="64"/>
      <c r="M2" s="64"/>
      <c r="N2" s="65"/>
      <c r="O2" s="64"/>
    </row>
    <row r="3" spans="1:54" ht="6" customHeight="1" thickBot="1">
      <c r="A3" s="67"/>
      <c r="B3" s="67"/>
      <c r="C3" s="67"/>
      <c r="D3" s="68"/>
      <c r="E3" s="69"/>
      <c r="F3" s="69"/>
      <c r="G3" s="67"/>
      <c r="H3" s="67"/>
      <c r="I3" s="68"/>
      <c r="J3" s="67"/>
      <c r="K3" s="67"/>
      <c r="L3" s="67"/>
      <c r="M3" s="67"/>
      <c r="N3" s="67"/>
      <c r="O3" s="67"/>
    </row>
    <row r="4" spans="1:54" ht="15" customHeight="1">
      <c r="A4" s="866" t="s">
        <v>29</v>
      </c>
      <c r="B4" s="867"/>
      <c r="C4" s="867"/>
      <c r="D4" s="868"/>
      <c r="E4" s="875" t="s">
        <v>30</v>
      </c>
      <c r="F4" s="875" t="s">
        <v>31</v>
      </c>
      <c r="G4" s="174" t="s">
        <v>32</v>
      </c>
      <c r="H4" s="156" t="s">
        <v>33</v>
      </c>
      <c r="I4" s="156" t="s">
        <v>32</v>
      </c>
      <c r="J4" s="861" t="s">
        <v>34</v>
      </c>
      <c r="K4" s="862"/>
      <c r="L4" s="862"/>
      <c r="M4" s="862"/>
      <c r="N4" s="862"/>
      <c r="O4" s="862"/>
      <c r="P4" s="863"/>
      <c r="Q4" s="71"/>
      <c r="R4" s="71"/>
    </row>
    <row r="5" spans="1:54" ht="35.25" customHeight="1" thickBot="1">
      <c r="A5" s="869"/>
      <c r="B5" s="870"/>
      <c r="C5" s="870"/>
      <c r="D5" s="871"/>
      <c r="E5" s="876"/>
      <c r="F5" s="876"/>
      <c r="G5" s="175" t="s">
        <v>35</v>
      </c>
      <c r="H5" s="176" t="s">
        <v>36</v>
      </c>
      <c r="I5" s="157" t="s">
        <v>188</v>
      </c>
      <c r="J5" s="177">
        <v>2013</v>
      </c>
      <c r="K5" s="177">
        <v>2014</v>
      </c>
      <c r="L5" s="178">
        <v>2015</v>
      </c>
      <c r="M5" s="178">
        <v>2016</v>
      </c>
      <c r="N5" s="178">
        <v>2017</v>
      </c>
      <c r="O5" s="382">
        <v>2018</v>
      </c>
      <c r="P5" s="388">
        <v>2019</v>
      </c>
      <c r="Q5" s="71"/>
      <c r="R5" s="71"/>
    </row>
    <row r="6" spans="1:54" s="151" customFormat="1" ht="15" customHeight="1">
      <c r="A6" s="179" t="s">
        <v>37</v>
      </c>
      <c r="B6" s="850" t="s">
        <v>13</v>
      </c>
      <c r="C6" s="864"/>
      <c r="D6" s="865"/>
      <c r="E6" s="180"/>
      <c r="F6" s="180"/>
      <c r="G6" s="181"/>
      <c r="H6" s="158">
        <f>H7</f>
        <v>30000</v>
      </c>
      <c r="I6" s="158">
        <f>I7</f>
        <v>15000</v>
      </c>
      <c r="J6" s="378">
        <f>J7</f>
        <v>880</v>
      </c>
      <c r="K6" s="378">
        <f t="shared" ref="K6:P6" si="0">K7</f>
        <v>3559</v>
      </c>
      <c r="L6" s="378">
        <f t="shared" si="0"/>
        <v>3588</v>
      </c>
      <c r="M6" s="378">
        <f t="shared" si="0"/>
        <v>2832</v>
      </c>
      <c r="N6" s="378">
        <f t="shared" si="0"/>
        <v>1952</v>
      </c>
      <c r="O6" s="383">
        <f t="shared" si="0"/>
        <v>1512</v>
      </c>
      <c r="P6" s="383">
        <f t="shared" si="0"/>
        <v>677</v>
      </c>
      <c r="Q6" s="87"/>
      <c r="R6" s="87"/>
      <c r="S6" s="73"/>
      <c r="T6" s="73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</row>
    <row r="7" spans="1:54" s="74" customFormat="1" ht="15" customHeight="1">
      <c r="A7" s="182" t="s">
        <v>14</v>
      </c>
      <c r="B7" s="872" t="s">
        <v>38</v>
      </c>
      <c r="C7" s="873"/>
      <c r="D7" s="874"/>
      <c r="E7" s="183" t="s">
        <v>39</v>
      </c>
      <c r="F7" s="184">
        <v>42</v>
      </c>
      <c r="G7" s="185">
        <v>75000</v>
      </c>
      <c r="H7" s="256">
        <f>H8+H9+H10+H11</f>
        <v>30000</v>
      </c>
      <c r="I7" s="256">
        <f>I8+I9+I10+I11</f>
        <v>15000</v>
      </c>
      <c r="J7" s="159">
        <f>SUM(J8:J11)</f>
        <v>880</v>
      </c>
      <c r="K7" s="159">
        <f t="shared" ref="K7:P7" si="1">SUM(K8:K11)</f>
        <v>3559</v>
      </c>
      <c r="L7" s="159">
        <f t="shared" si="1"/>
        <v>3588</v>
      </c>
      <c r="M7" s="159">
        <f t="shared" si="1"/>
        <v>2832</v>
      </c>
      <c r="N7" s="159">
        <f t="shared" si="1"/>
        <v>1952</v>
      </c>
      <c r="O7" s="384">
        <f t="shared" si="1"/>
        <v>1512</v>
      </c>
      <c r="P7" s="384">
        <f t="shared" si="1"/>
        <v>677</v>
      </c>
      <c r="Q7" s="75"/>
      <c r="R7" s="75"/>
      <c r="S7" s="76"/>
      <c r="T7" s="75"/>
      <c r="U7" s="77"/>
    </row>
    <row r="8" spans="1:54" s="74" customFormat="1" ht="15" customHeight="1">
      <c r="A8" s="186"/>
      <c r="B8" s="187"/>
      <c r="C8" s="187"/>
      <c r="D8" s="188" t="s">
        <v>67</v>
      </c>
      <c r="E8" s="189" t="s">
        <v>39</v>
      </c>
      <c r="F8" s="190">
        <v>48</v>
      </c>
      <c r="G8" s="191">
        <v>25000</v>
      </c>
      <c r="H8" s="192">
        <f>I8*2</f>
        <v>18000</v>
      </c>
      <c r="I8" s="160">
        <v>9000</v>
      </c>
      <c r="J8" s="160">
        <f>'CRONOG DOLAR'!H8+'CRONOG DOLAR'!I8</f>
        <v>720</v>
      </c>
      <c r="K8" s="160">
        <f>'CRONOG DOLAR'!J8+'CRONOG DOLAR'!K8+'CRONOG DOLAR'!L8+'CRONOG DOLAR'!M8</f>
        <v>2160</v>
      </c>
      <c r="L8" s="160">
        <f>'CRONOG DOLAR'!N8+'CRONOG DOLAR'!O8+'CRONOG DOLAR'!P8+'CRONOG DOLAR'!Q8</f>
        <v>2160</v>
      </c>
      <c r="M8" s="160">
        <f>'CRONOG DOLAR'!R8+'CRONOG DOLAR'!S8+'CRONOG DOLAR'!T8+'CRONOG DOLAR'!U8</f>
        <v>1800</v>
      </c>
      <c r="N8" s="160">
        <f>'CRONOG DOLAR'!V8+'CRONOG DOLAR'!W8+'CRONOG DOLAR'!X8+'CRONOG DOLAR'!Y8</f>
        <v>1080</v>
      </c>
      <c r="O8" s="379">
        <f>'CRONOG DOLAR'!Z8+'CRONOG DOLAR'!AA8+'CRONOG DOLAR'!AB8+'CRONOG DOLAR'!AC8</f>
        <v>720</v>
      </c>
      <c r="P8" s="379">
        <f>'CRONOG DOLAR'!AD8+'CRONOG DOLAR'!AE8</f>
        <v>360</v>
      </c>
      <c r="Q8" s="75"/>
      <c r="R8" s="75"/>
      <c r="S8" s="76"/>
      <c r="T8" s="75"/>
      <c r="U8" s="77"/>
    </row>
    <row r="9" spans="1:54" s="74" customFormat="1" ht="15.75">
      <c r="A9" s="186"/>
      <c r="B9" s="187"/>
      <c r="C9" s="187"/>
      <c r="D9" s="188" t="s">
        <v>157</v>
      </c>
      <c r="E9" s="189"/>
      <c r="F9" s="193" t="s">
        <v>41</v>
      </c>
      <c r="G9" s="194" t="s">
        <v>41</v>
      </c>
      <c r="H9" s="192">
        <f>I9*2</f>
        <v>0</v>
      </c>
      <c r="I9" s="160"/>
      <c r="J9" s="160">
        <f>'CRONOG DOLAR'!H9+'CRONOG DOLAR'!I9</f>
        <v>0</v>
      </c>
      <c r="K9" s="160">
        <f>'CRONOG DOLAR'!J9+'CRONOG DOLAR'!K9+'CRONOG DOLAR'!L9+'CRONOG DOLAR'!M9</f>
        <v>50</v>
      </c>
      <c r="L9" s="160">
        <f>'CRONOG DOLAR'!N9+'CRONOG DOLAR'!O9+'CRONOG DOLAR'!P9+'CRONOG DOLAR'!Q9</f>
        <v>0</v>
      </c>
      <c r="M9" s="160">
        <f>'CRONOG DOLAR'!R9+'CRONOG DOLAR'!S9+'CRONOG DOLAR'!T9+'CRONOG DOLAR'!U9</f>
        <v>0</v>
      </c>
      <c r="N9" s="160">
        <f>'CRONOG DOLAR'!V9+'CRONOG DOLAR'!W9+'CRONOG DOLAR'!X9+'CRONOG DOLAR'!Y9</f>
        <v>0</v>
      </c>
      <c r="O9" s="379">
        <f>'CRONOG DOLAR'!Z9+'CRONOG DOLAR'!AA9+'CRONOG DOLAR'!AB9+'CRONOG DOLAR'!AC9</f>
        <v>0</v>
      </c>
      <c r="P9" s="379">
        <f>'CRONOG DOLAR'!AD9+'CRONOG DOLAR'!AE9</f>
        <v>0</v>
      </c>
      <c r="Q9" s="75"/>
      <c r="R9" s="75"/>
      <c r="S9" s="76"/>
      <c r="T9" s="75"/>
      <c r="U9" s="77"/>
    </row>
    <row r="10" spans="1:54" s="74" customFormat="1" ht="15" customHeight="1">
      <c r="A10" s="186"/>
      <c r="B10" s="187"/>
      <c r="C10" s="187"/>
      <c r="D10" s="188" t="s">
        <v>40</v>
      </c>
      <c r="E10" s="189" t="s">
        <v>39</v>
      </c>
      <c r="F10" s="190"/>
      <c r="G10" s="191"/>
      <c r="H10" s="192">
        <f>I10*2</f>
        <v>4000</v>
      </c>
      <c r="I10" s="160">
        <v>2000</v>
      </c>
      <c r="J10" s="160">
        <f>'CRONOG DOLAR'!H10+'CRONOG DOLAR'!I10</f>
        <v>160</v>
      </c>
      <c r="K10" s="160">
        <f>'CRONOG DOLAR'!J10+'CRONOG DOLAR'!K10+'CRONOG DOLAR'!L10+'CRONOG DOLAR'!M10</f>
        <v>480</v>
      </c>
      <c r="L10" s="160">
        <f>'CRONOG DOLAR'!N10+'CRONOG DOLAR'!O10+'CRONOG DOLAR'!P10+'CRONOG DOLAR'!Q10</f>
        <v>480</v>
      </c>
      <c r="M10" s="160">
        <f>'CRONOG DOLAR'!R10+'CRONOG DOLAR'!S10+'CRONOG DOLAR'!T10+'CRONOG DOLAR'!U10</f>
        <v>400</v>
      </c>
      <c r="N10" s="160">
        <f>'CRONOG DOLAR'!V10+'CRONOG DOLAR'!W10+'CRONOG DOLAR'!X10+'CRONOG DOLAR'!Y10</f>
        <v>240</v>
      </c>
      <c r="O10" s="379">
        <f>'CRONOG DOLAR'!Z10+'CRONOG DOLAR'!AA10+'CRONOG DOLAR'!AB10+'CRONOG DOLAR'!AC10</f>
        <v>160</v>
      </c>
      <c r="P10" s="379">
        <f>'CRONOG DOLAR'!AD10+'CRONOG DOLAR'!AE10</f>
        <v>80</v>
      </c>
      <c r="Q10" s="75"/>
      <c r="R10" s="75"/>
      <c r="S10" s="76"/>
      <c r="T10" s="75"/>
      <c r="U10" s="77"/>
    </row>
    <row r="11" spans="1:54" s="74" customFormat="1" ht="15" customHeight="1" thickBot="1">
      <c r="A11" s="186"/>
      <c r="B11" s="187"/>
      <c r="C11" s="187"/>
      <c r="D11" s="195" t="s">
        <v>42</v>
      </c>
      <c r="E11" s="196"/>
      <c r="F11" s="196"/>
      <c r="G11" s="197"/>
      <c r="H11" s="192">
        <f>I11*2</f>
        <v>8000</v>
      </c>
      <c r="I11" s="161">
        <v>4000</v>
      </c>
      <c r="J11" s="160">
        <f>'CRONOG DOLAR'!H11+'CRONOG DOLAR'!I11</f>
        <v>0</v>
      </c>
      <c r="K11" s="160">
        <f>'CRONOG DOLAR'!J11+'CRONOG DOLAR'!K11+'CRONOG DOLAR'!L11+'CRONOG DOLAR'!M11</f>
        <v>869</v>
      </c>
      <c r="L11" s="160">
        <f>'CRONOG DOLAR'!N11+'CRONOG DOLAR'!O11+'CRONOG DOLAR'!P11+'CRONOG DOLAR'!Q11</f>
        <v>948</v>
      </c>
      <c r="M11" s="160">
        <f>'CRONOG DOLAR'!R11+'CRONOG DOLAR'!S11+'CRONOG DOLAR'!T11+'CRONOG DOLAR'!U11</f>
        <v>632</v>
      </c>
      <c r="N11" s="160">
        <f>'CRONOG DOLAR'!V11+'CRONOG DOLAR'!W11+'CRONOG DOLAR'!X11+'CRONOG DOLAR'!Y11</f>
        <v>632</v>
      </c>
      <c r="O11" s="379">
        <f>'CRONOG DOLAR'!Z11+'CRONOG DOLAR'!AA11+'CRONOG DOLAR'!AB11+'CRONOG DOLAR'!AC11</f>
        <v>632</v>
      </c>
      <c r="P11" s="379">
        <f>'CRONOG DOLAR'!AD11+'CRONOG DOLAR'!AE11</f>
        <v>237</v>
      </c>
      <c r="Q11" s="87"/>
      <c r="R11" s="87"/>
      <c r="S11" s="73"/>
      <c r="T11" s="73"/>
    </row>
    <row r="12" spans="1:54" s="74" customFormat="1" ht="29.25" customHeight="1">
      <c r="A12" s="200" t="s">
        <v>15</v>
      </c>
      <c r="B12" s="850" t="s">
        <v>16</v>
      </c>
      <c r="C12" s="804"/>
      <c r="D12" s="805"/>
      <c r="E12" s="201" t="s">
        <v>41</v>
      </c>
      <c r="F12" s="201" t="s">
        <v>41</v>
      </c>
      <c r="G12" s="202" t="s">
        <v>41</v>
      </c>
      <c r="H12" s="163">
        <f>H13+H26+H40</f>
        <v>598000</v>
      </c>
      <c r="I12" s="163">
        <f>I13+I26+I40</f>
        <v>299000</v>
      </c>
      <c r="J12" s="163">
        <f t="shared" ref="J12:P12" si="2">J13+J26+J40</f>
        <v>32334.5</v>
      </c>
      <c r="K12" s="163">
        <f t="shared" si="2"/>
        <v>76264.2</v>
      </c>
      <c r="L12" s="163">
        <f t="shared" si="2"/>
        <v>59501.5</v>
      </c>
      <c r="M12" s="163">
        <f t="shared" si="2"/>
        <v>50014.9</v>
      </c>
      <c r="N12" s="163">
        <f t="shared" si="2"/>
        <v>35124.300000000003</v>
      </c>
      <c r="O12" s="163">
        <f t="shared" si="2"/>
        <v>30999.4</v>
      </c>
      <c r="P12" s="163">
        <f t="shared" si="2"/>
        <v>14761.2</v>
      </c>
      <c r="Q12" s="87"/>
      <c r="R12" s="87"/>
      <c r="S12" s="73"/>
      <c r="T12" s="73"/>
    </row>
    <row r="13" spans="1:54" s="74" customFormat="1" ht="15" customHeight="1">
      <c r="A13" s="198" t="s">
        <v>17</v>
      </c>
      <c r="B13" s="852" t="s">
        <v>61</v>
      </c>
      <c r="C13" s="859"/>
      <c r="D13" s="860"/>
      <c r="E13" s="203" t="s">
        <v>43</v>
      </c>
      <c r="F13" s="199"/>
      <c r="G13" s="204"/>
      <c r="H13" s="257">
        <f>H14+H15+H16+H17+H18+H19+H20+H21+H22+H23+H24+H25</f>
        <v>40000</v>
      </c>
      <c r="I13" s="257">
        <f t="shared" ref="I13:N13" si="3">I14+I15+I16+I17+I18+I19+I20+I21+I22+I23+I24+I25</f>
        <v>20000</v>
      </c>
      <c r="J13" s="257">
        <f t="shared" si="3"/>
        <v>2200</v>
      </c>
      <c r="K13" s="257">
        <f t="shared" si="3"/>
        <v>6045</v>
      </c>
      <c r="L13" s="257">
        <f t="shared" si="3"/>
        <v>8760</v>
      </c>
      <c r="M13" s="257">
        <f t="shared" si="3"/>
        <v>2697.5</v>
      </c>
      <c r="N13" s="257">
        <f t="shared" si="3"/>
        <v>297.5</v>
      </c>
      <c r="O13" s="162">
        <f>SUM(O14:O24)</f>
        <v>0</v>
      </c>
      <c r="P13" s="162">
        <f>SUM(P14:P24)</f>
        <v>0</v>
      </c>
      <c r="Q13" s="75"/>
      <c r="R13" s="75"/>
      <c r="S13" s="79"/>
      <c r="T13" s="80"/>
      <c r="U13" s="77"/>
    </row>
    <row r="14" spans="1:54" s="74" customFormat="1" ht="15" customHeight="1">
      <c r="A14" s="186"/>
      <c r="B14" s="187"/>
      <c r="C14" s="187"/>
      <c r="D14" s="205" t="s">
        <v>73</v>
      </c>
      <c r="E14" s="206" t="s">
        <v>44</v>
      </c>
      <c r="F14" s="207"/>
      <c r="G14" s="208"/>
      <c r="H14" s="192">
        <f>I14*2</f>
        <v>3500</v>
      </c>
      <c r="I14" s="164">
        <v>1750</v>
      </c>
      <c r="J14" s="160">
        <f>'CRONOG DOLAR'!H14+'CRONOG DOLAR'!I14</f>
        <v>1750</v>
      </c>
      <c r="K14" s="160">
        <f>'CRONOG DOLAR'!J14+'CRONOG DOLAR'!K14+'CRONOG DOLAR'!L14+'CRONOG DOLAR'!M14</f>
        <v>0</v>
      </c>
      <c r="L14" s="160">
        <f>'CRONOG DOLAR'!N14+'CRONOG DOLAR'!O14+'CRONOG DOLAR'!P14+'CRONOG DOLAR'!Q14</f>
        <v>0</v>
      </c>
      <c r="M14" s="160">
        <f>'CRONOG DOLAR'!R14+'CRONOG DOLAR'!S14+'CRONOG DOLAR'!T14+'CRONOG DOLAR'!U14</f>
        <v>0</v>
      </c>
      <c r="N14" s="160">
        <f>'CRONOG DOLAR'!V14+'CRONOG DOLAR'!W14+'CRONOG DOLAR'!X14+'CRONOG DOLAR'!Y14</f>
        <v>0</v>
      </c>
      <c r="O14" s="379">
        <f>'CRONOG DOLAR'!Z14+'CRONOG DOLAR'!AA14+'CRONOG DOLAR'!AB14+'CRONOG DOLAR'!AC14</f>
        <v>0</v>
      </c>
      <c r="P14" s="386">
        <f>'CRONOG DOLAR'!AD14+'CRONOG DOLAR'!AE14</f>
        <v>0</v>
      </c>
      <c r="Q14" s="75"/>
      <c r="R14" s="75"/>
      <c r="S14" s="79"/>
      <c r="T14" s="80"/>
      <c r="U14" s="77"/>
    </row>
    <row r="15" spans="1:54" s="74" customFormat="1" ht="22.5" customHeight="1">
      <c r="A15" s="186"/>
      <c r="B15" s="187"/>
      <c r="C15" s="187"/>
      <c r="D15" s="209" t="s">
        <v>74</v>
      </c>
      <c r="E15" s="210" t="s">
        <v>45</v>
      </c>
      <c r="F15" s="193" t="s">
        <v>41</v>
      </c>
      <c r="G15" s="211" t="s">
        <v>46</v>
      </c>
      <c r="H15" s="192">
        <f t="shared" ref="H15:H24" si="4">I15*2</f>
        <v>12000</v>
      </c>
      <c r="I15" s="164">
        <v>6000</v>
      </c>
      <c r="J15" s="160">
        <f>'CRONOG DOLAR'!H15+'CRONOG DOLAR'!I15</f>
        <v>0</v>
      </c>
      <c r="K15" s="160">
        <f>'CRONOG DOLAR'!J15+'CRONOG DOLAR'!K15+'CRONOG DOLAR'!L15+'CRONOG DOLAR'!M15</f>
        <v>1440.0000000000002</v>
      </c>
      <c r="L15" s="160">
        <f>'CRONOG DOLAR'!N15+'CRONOG DOLAR'!O15+'CRONOG DOLAR'!P15+'CRONOG DOLAR'!Q15</f>
        <v>3240</v>
      </c>
      <c r="M15" s="160">
        <f>'CRONOG DOLAR'!R15+'CRONOG DOLAR'!S15+'CRONOG DOLAR'!T15+'CRONOG DOLAR'!U15</f>
        <v>1320</v>
      </c>
      <c r="N15" s="160">
        <f>'CRONOG DOLAR'!V15+'CRONOG DOLAR'!W15+'CRONOG DOLAR'!X15+'CRONOG DOLAR'!Y15</f>
        <v>0</v>
      </c>
      <c r="O15" s="379">
        <f>'CRONOG DOLAR'!Z15+'CRONOG DOLAR'!AA15+'CRONOG DOLAR'!AB15+'CRONOG DOLAR'!AC15</f>
        <v>0</v>
      </c>
      <c r="P15" s="386">
        <f>'CRONOG DOLAR'!AD15+'CRONOG DOLAR'!AE15</f>
        <v>0</v>
      </c>
      <c r="Q15" s="75"/>
      <c r="R15" s="75"/>
      <c r="S15" s="79"/>
      <c r="T15" s="80"/>
      <c r="U15" s="77"/>
    </row>
    <row r="16" spans="1:54" s="74" customFormat="1" ht="16.5" customHeight="1">
      <c r="A16" s="186"/>
      <c r="B16" s="187"/>
      <c r="C16" s="187"/>
      <c r="D16" s="209" t="s">
        <v>75</v>
      </c>
      <c r="E16" s="210" t="s">
        <v>45</v>
      </c>
      <c r="F16" s="193" t="s">
        <v>41</v>
      </c>
      <c r="G16" s="211" t="s">
        <v>46</v>
      </c>
      <c r="H16" s="192">
        <f t="shared" si="4"/>
        <v>9000</v>
      </c>
      <c r="I16" s="164">
        <v>4500</v>
      </c>
      <c r="J16" s="160">
        <f>'CRONOG DOLAR'!H16+'CRONOG DOLAR'!I16</f>
        <v>450</v>
      </c>
      <c r="K16" s="160">
        <f>'CRONOG DOLAR'!J16+'CRONOG DOLAR'!K16+'CRONOG DOLAR'!L16+'CRONOG DOLAR'!M16</f>
        <v>1800</v>
      </c>
      <c r="L16" s="160">
        <f>'CRONOG DOLAR'!N16+'CRONOG DOLAR'!O16+'CRONOG DOLAR'!P16+'CRONOG DOLAR'!Q16</f>
        <v>1800</v>
      </c>
      <c r="M16" s="160">
        <f>'CRONOG DOLAR'!R16+'CRONOG DOLAR'!S16+'CRONOG DOLAR'!T16+'CRONOG DOLAR'!U16</f>
        <v>450</v>
      </c>
      <c r="N16" s="160">
        <f>'CRONOG DOLAR'!V16+'CRONOG DOLAR'!W16+'CRONOG DOLAR'!X16+'CRONOG DOLAR'!Y16</f>
        <v>0</v>
      </c>
      <c r="O16" s="379">
        <f>'CRONOG DOLAR'!Z16+'CRONOG DOLAR'!AA16+'CRONOG DOLAR'!AB16+'CRONOG DOLAR'!AC16</f>
        <v>0</v>
      </c>
      <c r="P16" s="386">
        <f>'CRONOG DOLAR'!AD16+'CRONOG DOLAR'!AE16</f>
        <v>0</v>
      </c>
      <c r="Q16" s="75"/>
      <c r="R16" s="75"/>
      <c r="S16" s="79"/>
      <c r="T16" s="80"/>
      <c r="U16" s="77"/>
    </row>
    <row r="17" spans="1:21" s="74" customFormat="1" ht="30">
      <c r="A17" s="186"/>
      <c r="B17" s="187"/>
      <c r="C17" s="187"/>
      <c r="D17" s="209" t="s">
        <v>76</v>
      </c>
      <c r="E17" s="210" t="s">
        <v>45</v>
      </c>
      <c r="F17" s="193" t="s">
        <v>41</v>
      </c>
      <c r="G17" s="211" t="s">
        <v>46</v>
      </c>
      <c r="H17" s="192">
        <f t="shared" si="4"/>
        <v>4200</v>
      </c>
      <c r="I17" s="164">
        <v>2100</v>
      </c>
      <c r="J17" s="160">
        <f>'CRONOG DOLAR'!H17+'CRONOG DOLAR'!I17</f>
        <v>0</v>
      </c>
      <c r="K17" s="160">
        <f>'CRONOG DOLAR'!J17+'CRONOG DOLAR'!K17+'CRONOG DOLAR'!L17+'CRONOG DOLAR'!M17</f>
        <v>630</v>
      </c>
      <c r="L17" s="160">
        <f>'CRONOG DOLAR'!N17+'CRONOG DOLAR'!O17+'CRONOG DOLAR'!P17+'CRONOG DOLAR'!Q17</f>
        <v>1470</v>
      </c>
      <c r="M17" s="160">
        <f>'CRONOG DOLAR'!R17+'CRONOG DOLAR'!S17+'CRONOG DOLAR'!T17+'CRONOG DOLAR'!U17</f>
        <v>0</v>
      </c>
      <c r="N17" s="160">
        <f>'CRONOG DOLAR'!V17+'CRONOG DOLAR'!W17+'CRONOG DOLAR'!X17+'CRONOG DOLAR'!Y17</f>
        <v>0</v>
      </c>
      <c r="O17" s="379">
        <f>'CRONOG DOLAR'!Z17+'CRONOG DOLAR'!AA17+'CRONOG DOLAR'!AB17+'CRONOG DOLAR'!AC17</f>
        <v>0</v>
      </c>
      <c r="P17" s="386">
        <f>'CRONOG DOLAR'!AD17+'CRONOG DOLAR'!AE17</f>
        <v>0</v>
      </c>
      <c r="Q17" s="75"/>
      <c r="R17" s="75"/>
      <c r="S17" s="79"/>
      <c r="T17" s="80"/>
      <c r="U17" s="77"/>
    </row>
    <row r="18" spans="1:21" s="74" customFormat="1" ht="15.75">
      <c r="A18" s="186"/>
      <c r="B18" s="187"/>
      <c r="C18" s="187"/>
      <c r="D18" s="209" t="s">
        <v>77</v>
      </c>
      <c r="E18" s="210"/>
      <c r="F18" s="193"/>
      <c r="G18" s="211"/>
      <c r="H18" s="192">
        <f t="shared" si="4"/>
        <v>2000</v>
      </c>
      <c r="I18" s="164">
        <v>1000</v>
      </c>
      <c r="J18" s="160">
        <f>'CRONOG DOLAR'!H18+'CRONOG DOLAR'!I18</f>
        <v>0</v>
      </c>
      <c r="K18" s="160">
        <f>'CRONOG DOLAR'!J18+'CRONOG DOLAR'!K18+'CRONOG DOLAR'!L18+'CRONOG DOLAR'!M18</f>
        <v>400</v>
      </c>
      <c r="L18" s="160">
        <f>'CRONOG DOLAR'!N18+'CRONOG DOLAR'!O18+'CRONOG DOLAR'!P18+'CRONOG DOLAR'!Q18</f>
        <v>400</v>
      </c>
      <c r="M18" s="160">
        <f>'CRONOG DOLAR'!R18+'CRONOG DOLAR'!S18+'CRONOG DOLAR'!T18+'CRONOG DOLAR'!U18</f>
        <v>200</v>
      </c>
      <c r="N18" s="160">
        <f>'CRONOG DOLAR'!V18+'CRONOG DOLAR'!W18+'CRONOG DOLAR'!X18+'CRONOG DOLAR'!Y18</f>
        <v>0</v>
      </c>
      <c r="O18" s="379">
        <f>'CRONOG DOLAR'!Z18+'CRONOG DOLAR'!AA18+'CRONOG DOLAR'!AB18+'CRONOG DOLAR'!AC18</f>
        <v>0</v>
      </c>
      <c r="P18" s="386">
        <f>'CRONOG DOLAR'!AD18+'CRONOG DOLAR'!AE18</f>
        <v>0</v>
      </c>
      <c r="Q18" s="75"/>
      <c r="R18" s="75"/>
      <c r="S18" s="79"/>
      <c r="T18" s="80"/>
      <c r="U18" s="77"/>
    </row>
    <row r="19" spans="1:21" s="74" customFormat="1" ht="15.75">
      <c r="A19" s="186"/>
      <c r="B19" s="187"/>
      <c r="C19" s="187"/>
      <c r="D19" s="209" t="s">
        <v>78</v>
      </c>
      <c r="E19" s="210"/>
      <c r="F19" s="193"/>
      <c r="G19" s="211"/>
      <c r="H19" s="192">
        <f t="shared" si="4"/>
        <v>1500</v>
      </c>
      <c r="I19" s="164">
        <v>750</v>
      </c>
      <c r="J19" s="160">
        <f>'CRONOG DOLAR'!H19+'CRONOG DOLAR'!I19</f>
        <v>0</v>
      </c>
      <c r="K19" s="160">
        <f>'CRONOG DOLAR'!J19+'CRONOG DOLAR'!K19+'CRONOG DOLAR'!L19+'CRONOG DOLAR'!M19</f>
        <v>390</v>
      </c>
      <c r="L19" s="160">
        <f>'CRONOG DOLAR'!N19+'CRONOG DOLAR'!O19+'CRONOG DOLAR'!P19+'CRONOG DOLAR'!Q19</f>
        <v>360</v>
      </c>
      <c r="M19" s="160">
        <f>'CRONOG DOLAR'!R19+'CRONOG DOLAR'!S19+'CRONOG DOLAR'!T19+'CRONOG DOLAR'!U19</f>
        <v>0</v>
      </c>
      <c r="N19" s="160">
        <f>'CRONOG DOLAR'!V19+'CRONOG DOLAR'!W19+'CRONOG DOLAR'!X19+'CRONOG DOLAR'!Y19</f>
        <v>0</v>
      </c>
      <c r="O19" s="379">
        <f>'CRONOG DOLAR'!Z19+'CRONOG DOLAR'!AA19+'CRONOG DOLAR'!AB19+'CRONOG DOLAR'!AC19</f>
        <v>0</v>
      </c>
      <c r="P19" s="386">
        <f>'CRONOG DOLAR'!AD19+'CRONOG DOLAR'!AE19</f>
        <v>0</v>
      </c>
      <c r="Q19" s="75"/>
      <c r="R19" s="75"/>
      <c r="S19" s="79"/>
      <c r="T19" s="80"/>
      <c r="U19" s="77"/>
    </row>
    <row r="20" spans="1:21" s="74" customFormat="1" ht="15.75">
      <c r="A20" s="186"/>
      <c r="B20" s="187"/>
      <c r="C20" s="187"/>
      <c r="D20" s="209" t="s">
        <v>79</v>
      </c>
      <c r="E20" s="210" t="s">
        <v>45</v>
      </c>
      <c r="F20" s="193"/>
      <c r="G20" s="211"/>
      <c r="H20" s="192">
        <f t="shared" si="4"/>
        <v>1000</v>
      </c>
      <c r="I20" s="164">
        <v>500</v>
      </c>
      <c r="J20" s="160">
        <f>'CRONOG DOLAR'!H20+'CRONOG DOLAR'!I20</f>
        <v>0</v>
      </c>
      <c r="K20" s="160">
        <f>'CRONOG DOLAR'!J20+'CRONOG DOLAR'!K20+'CRONOG DOLAR'!L20+'CRONOG DOLAR'!M20</f>
        <v>150</v>
      </c>
      <c r="L20" s="160">
        <f>'CRONOG DOLAR'!N20+'CRONOG DOLAR'!O20+'CRONOG DOLAR'!P20+'CRONOG DOLAR'!Q20</f>
        <v>200</v>
      </c>
      <c r="M20" s="160">
        <f>'CRONOG DOLAR'!R20+'CRONOG DOLAR'!S20+'CRONOG DOLAR'!T20+'CRONOG DOLAR'!U20</f>
        <v>150</v>
      </c>
      <c r="N20" s="160">
        <f>'CRONOG DOLAR'!V20+'CRONOG DOLAR'!W20+'CRONOG DOLAR'!X20+'CRONOG DOLAR'!Y20</f>
        <v>0</v>
      </c>
      <c r="O20" s="379">
        <f>'CRONOG DOLAR'!Z20+'CRONOG DOLAR'!AA20+'CRONOG DOLAR'!AB20+'CRONOG DOLAR'!AC20</f>
        <v>0</v>
      </c>
      <c r="P20" s="386">
        <f>'CRONOG DOLAR'!AD20+'CRONOG DOLAR'!AE20</f>
        <v>0</v>
      </c>
      <c r="Q20" s="75"/>
      <c r="R20" s="75"/>
      <c r="S20" s="79"/>
      <c r="T20" s="80"/>
      <c r="U20" s="77"/>
    </row>
    <row r="21" spans="1:21" s="74" customFormat="1" ht="18.75" customHeight="1">
      <c r="A21" s="186"/>
      <c r="B21" s="187"/>
      <c r="C21" s="187"/>
      <c r="D21" s="209" t="s">
        <v>80</v>
      </c>
      <c r="E21" s="210" t="s">
        <v>45</v>
      </c>
      <c r="F21" s="193"/>
      <c r="G21" s="211"/>
      <c r="H21" s="192">
        <f t="shared" si="4"/>
        <v>900</v>
      </c>
      <c r="I21" s="164">
        <v>450</v>
      </c>
      <c r="J21" s="160">
        <f>'CRONOG DOLAR'!H21+'CRONOG DOLAR'!I21</f>
        <v>0</v>
      </c>
      <c r="K21" s="160">
        <f>'CRONOG DOLAR'!J21+'CRONOG DOLAR'!K21+'CRONOG DOLAR'!L21+'CRONOG DOLAR'!M21</f>
        <v>337.5</v>
      </c>
      <c r="L21" s="160">
        <f>'CRONOG DOLAR'!N21+'CRONOG DOLAR'!O21+'CRONOG DOLAR'!P21+'CRONOG DOLAR'!Q21</f>
        <v>112.5</v>
      </c>
      <c r="M21" s="160">
        <f>'CRONOG DOLAR'!R21+'CRONOG DOLAR'!S21+'CRONOG DOLAR'!T21+'CRONOG DOLAR'!U21</f>
        <v>0</v>
      </c>
      <c r="N21" s="160">
        <f>'CRONOG DOLAR'!V21+'CRONOG DOLAR'!W21+'CRONOG DOLAR'!X21+'CRONOG DOLAR'!Y21</f>
        <v>0</v>
      </c>
      <c r="O21" s="379">
        <f>'CRONOG DOLAR'!Z21+'CRONOG DOLAR'!AA21+'CRONOG DOLAR'!AB21+'CRONOG DOLAR'!AC21</f>
        <v>0</v>
      </c>
      <c r="P21" s="386">
        <f>'CRONOG DOLAR'!AD21+'CRONOG DOLAR'!AE21</f>
        <v>0</v>
      </c>
      <c r="Q21" s="75"/>
      <c r="R21" s="75"/>
      <c r="S21" s="79"/>
      <c r="T21" s="80"/>
      <c r="U21" s="77"/>
    </row>
    <row r="22" spans="1:21" s="74" customFormat="1" ht="18.75" customHeight="1">
      <c r="A22" s="186"/>
      <c r="B22" s="187"/>
      <c r="C22" s="187"/>
      <c r="D22" s="209" t="s">
        <v>81</v>
      </c>
      <c r="E22" s="210" t="s">
        <v>45</v>
      </c>
      <c r="F22" s="193"/>
      <c r="G22" s="211"/>
      <c r="H22" s="192">
        <f t="shared" si="4"/>
        <v>400</v>
      </c>
      <c r="I22" s="164">
        <v>200</v>
      </c>
      <c r="J22" s="160">
        <f>'CRONOG DOLAR'!H22+'CRONOG DOLAR'!I22</f>
        <v>0</v>
      </c>
      <c r="K22" s="160">
        <f>'CRONOG DOLAR'!J22+'CRONOG DOLAR'!K22+'CRONOG DOLAR'!L22+'CRONOG DOLAR'!M22</f>
        <v>200</v>
      </c>
      <c r="L22" s="160">
        <f>'CRONOG DOLAR'!N22+'CRONOG DOLAR'!O22+'CRONOG DOLAR'!P22+'CRONOG DOLAR'!Q22</f>
        <v>0</v>
      </c>
      <c r="M22" s="160">
        <f>'CRONOG DOLAR'!R22+'CRONOG DOLAR'!S22+'CRONOG DOLAR'!T22+'CRONOG DOLAR'!U22</f>
        <v>0</v>
      </c>
      <c r="N22" s="160">
        <f>'CRONOG DOLAR'!V22+'CRONOG DOLAR'!W22+'CRONOG DOLAR'!X22+'CRONOG DOLAR'!Y22</f>
        <v>0</v>
      </c>
      <c r="O22" s="379">
        <f>'CRONOG DOLAR'!Z22+'CRONOG DOLAR'!AA22+'CRONOG DOLAR'!AB22+'CRONOG DOLAR'!AC22</f>
        <v>0</v>
      </c>
      <c r="P22" s="386">
        <f>'CRONOG DOLAR'!AD22+'CRONOG DOLAR'!AE22</f>
        <v>0</v>
      </c>
      <c r="Q22" s="75"/>
      <c r="R22" s="75"/>
      <c r="S22" s="79"/>
      <c r="T22" s="80"/>
      <c r="U22" s="77"/>
    </row>
    <row r="23" spans="1:21" s="74" customFormat="1" ht="15.75">
      <c r="A23" s="186"/>
      <c r="B23" s="187"/>
      <c r="C23" s="187"/>
      <c r="D23" s="209" t="s">
        <v>82</v>
      </c>
      <c r="E23" s="210" t="s">
        <v>45</v>
      </c>
      <c r="F23" s="193"/>
      <c r="G23" s="211"/>
      <c r="H23" s="192">
        <f t="shared" si="4"/>
        <v>3500</v>
      </c>
      <c r="I23" s="164">
        <v>1750</v>
      </c>
      <c r="J23" s="160">
        <f>'CRONOG DOLAR'!H23+'CRONOG DOLAR'!I23</f>
        <v>0</v>
      </c>
      <c r="K23" s="160">
        <f>'CRONOG DOLAR'!J23+'CRONOG DOLAR'!K23+'CRONOG DOLAR'!L23+'CRONOG DOLAR'!M23</f>
        <v>297.5</v>
      </c>
      <c r="L23" s="160">
        <f>'CRONOG DOLAR'!N23+'CRONOG DOLAR'!O23+'CRONOG DOLAR'!P23+'CRONOG DOLAR'!Q23</f>
        <v>577.5</v>
      </c>
      <c r="M23" s="160">
        <f>'CRONOG DOLAR'!R23+'CRONOG DOLAR'!S23+'CRONOG DOLAR'!T23+'CRONOG DOLAR'!U23</f>
        <v>577.5</v>
      </c>
      <c r="N23" s="160">
        <f>'CRONOG DOLAR'!V23+'CRONOG DOLAR'!W23+'CRONOG DOLAR'!X23+'CRONOG DOLAR'!Y23</f>
        <v>297.5</v>
      </c>
      <c r="O23" s="379">
        <f>'CRONOG DOLAR'!Z23+'CRONOG DOLAR'!AA23+'CRONOG DOLAR'!AB23+'CRONOG DOLAR'!AC23</f>
        <v>0</v>
      </c>
      <c r="P23" s="386">
        <f>'CRONOG DOLAR'!AD23+'CRONOG DOLAR'!AE23</f>
        <v>0</v>
      </c>
      <c r="Q23" s="75"/>
      <c r="R23" s="75"/>
      <c r="S23" s="79"/>
      <c r="T23" s="80"/>
      <c r="U23" s="77"/>
    </row>
    <row r="24" spans="1:21" s="74" customFormat="1" ht="15" customHeight="1">
      <c r="A24" s="186"/>
      <c r="B24" s="187"/>
      <c r="C24" s="187"/>
      <c r="D24" s="212" t="s">
        <v>83</v>
      </c>
      <c r="E24" s="213" t="s">
        <v>47</v>
      </c>
      <c r="F24" s="214">
        <v>2000</v>
      </c>
      <c r="G24" s="215">
        <v>150</v>
      </c>
      <c r="H24" s="192">
        <f t="shared" si="4"/>
        <v>2000</v>
      </c>
      <c r="I24" s="164">
        <v>1000</v>
      </c>
      <c r="J24" s="160">
        <f>'CRONOG DOLAR'!H24+'CRONOG DOLAR'!I24</f>
        <v>0</v>
      </c>
      <c r="K24" s="160">
        <f>'CRONOG DOLAR'!J24+'CRONOG DOLAR'!K24+'CRONOG DOLAR'!L24+'CRONOG DOLAR'!M24</f>
        <v>400</v>
      </c>
      <c r="L24" s="160">
        <f>'CRONOG DOLAR'!N24+'CRONOG DOLAR'!O24+'CRONOG DOLAR'!P24+'CRONOG DOLAR'!Q24</f>
        <v>600</v>
      </c>
      <c r="M24" s="160">
        <f>'CRONOG DOLAR'!R24+'CRONOG DOLAR'!S24+'CRONOG DOLAR'!T24+'CRONOG DOLAR'!U24</f>
        <v>0</v>
      </c>
      <c r="N24" s="160">
        <f>'CRONOG DOLAR'!V24+'CRONOG DOLAR'!W24+'CRONOG DOLAR'!X24+'CRONOG DOLAR'!Y24</f>
        <v>0</v>
      </c>
      <c r="O24" s="379">
        <f>'CRONOG DOLAR'!Z24+'CRONOG DOLAR'!AA24+'CRONOG DOLAR'!AB24+'CRONOG DOLAR'!AC24</f>
        <v>0</v>
      </c>
      <c r="P24" s="386">
        <f>'CRONOG DOLAR'!AD24+'CRONOG DOLAR'!AE24</f>
        <v>0</v>
      </c>
      <c r="Q24" s="75"/>
      <c r="R24" s="75"/>
      <c r="S24" s="79"/>
      <c r="T24" s="80"/>
      <c r="U24" s="77"/>
    </row>
    <row r="25" spans="1:21" s="74" customFormat="1" ht="15" customHeight="1">
      <c r="A25" s="186"/>
      <c r="B25" s="187"/>
      <c r="C25" s="187"/>
      <c r="D25" s="558"/>
      <c r="E25" s="213"/>
      <c r="F25" s="559"/>
      <c r="G25" s="215"/>
      <c r="H25" s="192"/>
      <c r="I25" s="560"/>
      <c r="J25" s="561"/>
      <c r="K25" s="561"/>
      <c r="L25" s="561"/>
      <c r="M25" s="561"/>
      <c r="N25" s="561"/>
      <c r="O25" s="562"/>
      <c r="P25" s="563"/>
      <c r="Q25" s="75"/>
      <c r="R25" s="75"/>
      <c r="S25" s="79"/>
      <c r="T25" s="80"/>
      <c r="U25" s="77"/>
    </row>
    <row r="26" spans="1:21" s="74" customFormat="1" ht="15" customHeight="1">
      <c r="A26" s="216" t="s">
        <v>48</v>
      </c>
      <c r="B26" s="217" t="s">
        <v>63</v>
      </c>
      <c r="C26" s="218"/>
      <c r="D26" s="153"/>
      <c r="E26" s="219"/>
      <c r="F26" s="219" t="s">
        <v>41</v>
      </c>
      <c r="G26" s="220">
        <f>SUM(G29:G37)</f>
        <v>0</v>
      </c>
      <c r="H26" s="165">
        <f t="shared" ref="H26:P26" si="5">SUM(H27:H39)</f>
        <v>528000</v>
      </c>
      <c r="I26" s="165">
        <f t="shared" si="5"/>
        <v>264000</v>
      </c>
      <c r="J26" s="221">
        <f t="shared" si="5"/>
        <v>30134.5</v>
      </c>
      <c r="K26" s="221">
        <f t="shared" si="5"/>
        <v>67186.5</v>
      </c>
      <c r="L26" s="221">
        <f t="shared" si="5"/>
        <v>46944</v>
      </c>
      <c r="M26" s="221">
        <f t="shared" si="5"/>
        <v>44526</v>
      </c>
      <c r="N26" s="221">
        <f t="shared" si="5"/>
        <v>32624.000000000004</v>
      </c>
      <c r="O26" s="385">
        <f t="shared" si="5"/>
        <v>28875</v>
      </c>
      <c r="P26" s="385">
        <f t="shared" si="5"/>
        <v>13710</v>
      </c>
      <c r="Q26" s="84"/>
      <c r="R26" s="84"/>
      <c r="S26" s="77"/>
      <c r="T26" s="81"/>
      <c r="U26" s="82"/>
    </row>
    <row r="27" spans="1:21" s="74" customFormat="1" ht="30.75" thickBot="1">
      <c r="A27" s="308"/>
      <c r="B27" s="309"/>
      <c r="C27" s="310"/>
      <c r="D27" s="233" t="s">
        <v>72</v>
      </c>
      <c r="E27" s="234"/>
      <c r="F27" s="234"/>
      <c r="G27" s="235"/>
      <c r="H27" s="236">
        <v>7700</v>
      </c>
      <c r="I27" s="173">
        <v>3850</v>
      </c>
      <c r="J27" s="379">
        <f>'CRONOG DOLAR'!H26+'CRONOG DOLAR'!I26</f>
        <v>0</v>
      </c>
      <c r="K27" s="381">
        <f>'CRONOG DOLAR'!J26+'CRONOG DOLAR'!K26+'CRONOG DOLAR'!L26+'CRONOG DOLAR'!M26</f>
        <v>693</v>
      </c>
      <c r="L27" s="381">
        <f>'CRONOG DOLAR'!N26+'CRONOG DOLAR'!O26+'CRONOG DOLAR'!P26+'CRONOG DOLAR'!Q26</f>
        <v>924</v>
      </c>
      <c r="M27" s="381">
        <f>'CRONOG DOLAR'!R26+'CRONOG DOLAR'!S26+'CRONOG DOLAR'!T26+'CRONOG DOLAR'!U26</f>
        <v>924</v>
      </c>
      <c r="N27" s="380">
        <f>'CRONOG DOLAR'!V26+'CRONOG DOLAR'!W26+'CRONOG DOLAR'!X26+'CRONOG DOLAR'!Y26</f>
        <v>924</v>
      </c>
      <c r="O27" s="380">
        <f>'CRONOG DOLAR'!Z26+'CRONOG DOLAR'!AA26+'CRONOG DOLAR'!AB26+'CRONOG DOLAR'!AC26</f>
        <v>385</v>
      </c>
      <c r="P27" s="387">
        <f>'CRONOG DOLAR'!AD26+'CRONOG DOLAR'!AE26</f>
        <v>0</v>
      </c>
      <c r="Q27" s="84"/>
      <c r="R27" s="84"/>
      <c r="S27" s="77"/>
      <c r="T27" s="81"/>
      <c r="U27" s="82"/>
    </row>
    <row r="28" spans="1:21" s="74" customFormat="1" ht="15" customHeight="1">
      <c r="A28" s="222"/>
      <c r="B28" s="223"/>
      <c r="C28" s="224"/>
      <c r="D28" s="238" t="s">
        <v>84</v>
      </c>
      <c r="E28" s="239"/>
      <c r="F28" s="239"/>
      <c r="G28" s="240"/>
      <c r="H28" s="236">
        <f>I28*2</f>
        <v>9000</v>
      </c>
      <c r="I28" s="166">
        <v>4500</v>
      </c>
      <c r="J28" s="379">
        <f>'CRONOG DOLAR'!H27+'CRONOG DOLAR'!I27</f>
        <v>315.00000000000006</v>
      </c>
      <c r="K28" s="381">
        <f>'CRONOG DOLAR'!J27+'CRONOG DOLAR'!K27+'CRONOG DOLAR'!L27+'CRONOG DOLAR'!M27</f>
        <v>3465</v>
      </c>
      <c r="L28" s="381">
        <f>'CRONOG DOLAR'!N27+'CRONOG DOLAR'!O27+'CRONOG DOLAR'!P27+'CRONOG DOLAR'!Q27</f>
        <v>720</v>
      </c>
      <c r="M28" s="381">
        <f>'CRONOG DOLAR'!R27+'CRONOG DOLAR'!S27+'CRONOG DOLAR'!T27+'CRONOG DOLAR'!U27</f>
        <v>0</v>
      </c>
      <c r="N28" s="380">
        <f>'CRONOG DOLAR'!V27+'CRONOG DOLAR'!W27+'CRONOG DOLAR'!X27+'CRONOG DOLAR'!Y27</f>
        <v>0</v>
      </c>
      <c r="O28" s="380">
        <f>'CRONOG DOLAR'!Z27+'CRONOG DOLAR'!AA27+'CRONOG DOLAR'!AB27+'CRONOG DOLAR'!AC27</f>
        <v>0</v>
      </c>
      <c r="P28" s="387">
        <f>'CRONOG DOLAR'!AD27+'CRONOG DOLAR'!AE27</f>
        <v>0</v>
      </c>
      <c r="Q28" s="84"/>
      <c r="R28" s="84"/>
      <c r="S28" s="77"/>
      <c r="T28" s="81"/>
      <c r="U28" s="82"/>
    </row>
    <row r="29" spans="1:21" s="74" customFormat="1" ht="15" customHeight="1">
      <c r="A29" s="222"/>
      <c r="B29" s="223"/>
      <c r="C29" s="224"/>
      <c r="D29" s="209" t="s">
        <v>85</v>
      </c>
      <c r="E29" s="189"/>
      <c r="F29" s="190" t="s">
        <v>41</v>
      </c>
      <c r="G29" s="241" t="s">
        <v>41</v>
      </c>
      <c r="H29" s="236">
        <f t="shared" ref="H29:H39" si="6">I29*2</f>
        <v>15200</v>
      </c>
      <c r="I29" s="166">
        <v>7600</v>
      </c>
      <c r="J29" s="379">
        <f>'CRONOG DOLAR'!H28+'CRONOG DOLAR'!I28</f>
        <v>532</v>
      </c>
      <c r="K29" s="381">
        <f>'CRONOG DOLAR'!J28+'CRONOG DOLAR'!K28+'CRONOG DOLAR'!L28+'CRONOG DOLAR'!M28</f>
        <v>5852</v>
      </c>
      <c r="L29" s="381">
        <f>'CRONOG DOLAR'!N28+'CRONOG DOLAR'!O28+'CRONOG DOLAR'!P28+'CRONOG DOLAR'!Q28</f>
        <v>1216</v>
      </c>
      <c r="M29" s="381">
        <f>'CRONOG DOLAR'!R28+'CRONOG DOLAR'!S28+'CRONOG DOLAR'!T28+'CRONOG DOLAR'!U28</f>
        <v>0</v>
      </c>
      <c r="N29" s="380">
        <f>'CRONOG DOLAR'!V28+'CRONOG DOLAR'!W28+'CRONOG DOLAR'!X28+'CRONOG DOLAR'!Y28</f>
        <v>0</v>
      </c>
      <c r="O29" s="380">
        <f>'CRONOG DOLAR'!Z28+'CRONOG DOLAR'!AA28+'CRONOG DOLAR'!AB28+'CRONOG DOLAR'!AC28</f>
        <v>0</v>
      </c>
      <c r="P29" s="387">
        <f>'CRONOG DOLAR'!AD28+'CRONOG DOLAR'!AE28</f>
        <v>0</v>
      </c>
      <c r="Q29" s="81"/>
      <c r="R29" s="81"/>
      <c r="S29" s="77"/>
      <c r="T29" s="82"/>
      <c r="U29" s="82"/>
    </row>
    <row r="30" spans="1:21" s="74" customFormat="1" ht="15" customHeight="1">
      <c r="A30" s="222"/>
      <c r="B30" s="223"/>
      <c r="C30" s="224"/>
      <c r="D30" s="243" t="s">
        <v>86</v>
      </c>
      <c r="E30" s="189"/>
      <c r="F30" s="190"/>
      <c r="G30" s="241"/>
      <c r="H30" s="236">
        <f t="shared" si="6"/>
        <v>58600</v>
      </c>
      <c r="I30" s="166">
        <v>29300</v>
      </c>
      <c r="J30" s="379">
        <f>'CRONOG DOLAR'!H29+'CRONOG DOLAR'!I29</f>
        <v>0</v>
      </c>
      <c r="K30" s="381">
        <f>'CRONOG DOLAR'!J29+'CRONOG DOLAR'!K29+'CRONOG DOLAR'!L29+'CRONOG DOLAR'!M29</f>
        <v>9962</v>
      </c>
      <c r="L30" s="381">
        <f>'CRONOG DOLAR'!N29+'CRONOG DOLAR'!O29+'CRONOG DOLAR'!P29+'CRONOG DOLAR'!Q29</f>
        <v>12892</v>
      </c>
      <c r="M30" s="381">
        <f>'CRONOG DOLAR'!R29+'CRONOG DOLAR'!S29+'CRONOG DOLAR'!T29+'CRONOG DOLAR'!U29</f>
        <v>6446</v>
      </c>
      <c r="N30" s="380">
        <f>'CRONOG DOLAR'!V29+'CRONOG DOLAR'!W29+'CRONOG DOLAR'!X29+'CRONOG DOLAR'!Y29</f>
        <v>0</v>
      </c>
      <c r="O30" s="380">
        <f>'CRONOG DOLAR'!Z29+'CRONOG DOLAR'!AA29+'CRONOG DOLAR'!AB29+'CRONOG DOLAR'!AC29</f>
        <v>0</v>
      </c>
      <c r="P30" s="387">
        <f>'CRONOG DOLAR'!AD29+'CRONOG DOLAR'!AE29</f>
        <v>0</v>
      </c>
      <c r="Q30" s="81"/>
      <c r="R30" s="81"/>
      <c r="S30" s="77"/>
      <c r="T30" s="82"/>
      <c r="U30" s="82"/>
    </row>
    <row r="31" spans="1:21" s="74" customFormat="1" ht="15" customHeight="1">
      <c r="A31" s="222"/>
      <c r="B31" s="223"/>
      <c r="C31" s="224"/>
      <c r="D31" s="243" t="s">
        <v>87</v>
      </c>
      <c r="E31" s="189"/>
      <c r="F31" s="190"/>
      <c r="G31" s="241"/>
      <c r="H31" s="236">
        <f t="shared" si="6"/>
        <v>49600</v>
      </c>
      <c r="I31" s="166">
        <v>24800</v>
      </c>
      <c r="J31" s="379">
        <f>'CRONOG DOLAR'!H30+'CRONOG DOLAR'!I30</f>
        <v>0</v>
      </c>
      <c r="K31" s="381">
        <f>'CRONOG DOLAR'!J30+'CRONOG DOLAR'!K30+'CRONOG DOLAR'!L30+'CRONOG DOLAR'!M30</f>
        <v>8432</v>
      </c>
      <c r="L31" s="381">
        <f>'CRONOG DOLAR'!N30+'CRONOG DOLAR'!O30+'CRONOG DOLAR'!P30+'CRONOG DOLAR'!Q30</f>
        <v>10912</v>
      </c>
      <c r="M31" s="381">
        <f>'CRONOG DOLAR'!R30+'CRONOG DOLAR'!S30+'CRONOG DOLAR'!T30+'CRONOG DOLAR'!U30</f>
        <v>5456</v>
      </c>
      <c r="N31" s="380">
        <f>'CRONOG DOLAR'!V30+'CRONOG DOLAR'!W30+'CRONOG DOLAR'!X30+'CRONOG DOLAR'!Y30</f>
        <v>0</v>
      </c>
      <c r="O31" s="380">
        <f>'CRONOG DOLAR'!Z30+'CRONOG DOLAR'!AA30+'CRONOG DOLAR'!AB30+'CRONOG DOLAR'!AC30</f>
        <v>0</v>
      </c>
      <c r="P31" s="387">
        <f>'CRONOG DOLAR'!AD30+'CRONOG DOLAR'!AE30</f>
        <v>0</v>
      </c>
      <c r="Q31" s="81"/>
      <c r="R31" s="81"/>
      <c r="S31" s="77"/>
      <c r="T31" s="82"/>
      <c r="U31" s="82"/>
    </row>
    <row r="32" spans="1:21" s="74" customFormat="1" ht="15" customHeight="1" thickBot="1">
      <c r="A32" s="222"/>
      <c r="B32" s="223"/>
      <c r="C32" s="224"/>
      <c r="D32" s="209" t="s">
        <v>88</v>
      </c>
      <c r="E32" s="189"/>
      <c r="F32" s="190"/>
      <c r="G32" s="241"/>
      <c r="H32" s="236">
        <f t="shared" si="6"/>
        <v>12000</v>
      </c>
      <c r="I32" s="166">
        <v>6000</v>
      </c>
      <c r="J32" s="379">
        <f>'CRONOG DOLAR'!H31+'CRONOG DOLAR'!I31</f>
        <v>6000</v>
      </c>
      <c r="K32" s="381">
        <f>'CRONOG DOLAR'!J31+'CRONOG DOLAR'!K31+'CRONOG DOLAR'!L31+'CRONOG DOLAR'!M31</f>
        <v>0</v>
      </c>
      <c r="L32" s="381">
        <f>'CRONOG DOLAR'!N31+'CRONOG DOLAR'!O31+'CRONOG DOLAR'!P31+'CRONOG DOLAR'!Q31</f>
        <v>0</v>
      </c>
      <c r="M32" s="381">
        <f>'CRONOG DOLAR'!R31+'CRONOG DOLAR'!S31+'CRONOG DOLAR'!T31+'CRONOG DOLAR'!U31</f>
        <v>0</v>
      </c>
      <c r="N32" s="380">
        <f>'CRONOG DOLAR'!V31+'CRONOG DOLAR'!W31+'CRONOG DOLAR'!X31+'CRONOG DOLAR'!Y31</f>
        <v>0</v>
      </c>
      <c r="O32" s="380">
        <f>'CRONOG DOLAR'!Z31+'CRONOG DOLAR'!AA31+'CRONOG DOLAR'!AB31+'CRONOG DOLAR'!AC31</f>
        <v>0</v>
      </c>
      <c r="P32" s="387">
        <f>'CRONOG DOLAR'!AD31+'CRONOG DOLAR'!AE31</f>
        <v>0</v>
      </c>
      <c r="Q32" s="81"/>
      <c r="R32" s="81"/>
      <c r="S32" s="77"/>
      <c r="T32" s="82"/>
      <c r="U32" s="82"/>
    </row>
    <row r="33" spans="1:54" s="74" customFormat="1" ht="15.75">
      <c r="A33" s="222"/>
      <c r="B33" s="223"/>
      <c r="C33" s="224"/>
      <c r="D33" s="233" t="s">
        <v>89</v>
      </c>
      <c r="E33" s="239"/>
      <c r="F33" s="239"/>
      <c r="G33" s="240"/>
      <c r="H33" s="236">
        <f t="shared" si="6"/>
        <v>30000</v>
      </c>
      <c r="I33" s="166">
        <v>15000</v>
      </c>
      <c r="J33" s="379">
        <f>'CRONOG DOLAR'!H32+'CRONOG DOLAR'!I32</f>
        <v>5100</v>
      </c>
      <c r="K33" s="381">
        <f>'CRONOG DOLAR'!J32+'CRONOG DOLAR'!K32+'CRONOG DOLAR'!L32+'CRONOG DOLAR'!M32</f>
        <v>7950</v>
      </c>
      <c r="L33" s="381">
        <f>'CRONOG DOLAR'!N32+'CRONOG DOLAR'!O32+'CRONOG DOLAR'!P32+'CRONOG DOLAR'!Q32</f>
        <v>1950</v>
      </c>
      <c r="M33" s="381">
        <f>'CRONOG DOLAR'!R32+'CRONOG DOLAR'!S32+'CRONOG DOLAR'!T32+'CRONOG DOLAR'!U32</f>
        <v>0</v>
      </c>
      <c r="N33" s="380">
        <f>'CRONOG DOLAR'!V32+'CRONOG DOLAR'!W32+'CRONOG DOLAR'!X32+'CRONOG DOLAR'!Y32</f>
        <v>0</v>
      </c>
      <c r="O33" s="380">
        <f>'CRONOG DOLAR'!Z32+'CRONOG DOLAR'!AA32+'CRONOG DOLAR'!AB32+'CRONOG DOLAR'!AC32</f>
        <v>0</v>
      </c>
      <c r="P33" s="387">
        <f>'CRONOG DOLAR'!AD32+'CRONOG DOLAR'!AE32</f>
        <v>0</v>
      </c>
      <c r="Q33" s="81"/>
      <c r="R33" s="81"/>
      <c r="S33" s="77"/>
      <c r="T33" s="82"/>
      <c r="U33" s="82"/>
    </row>
    <row r="34" spans="1:54" s="74" customFormat="1" ht="15" customHeight="1">
      <c r="A34" s="186"/>
      <c r="B34" s="226"/>
      <c r="C34" s="226"/>
      <c r="D34" s="238" t="s">
        <v>90</v>
      </c>
      <c r="E34" s="189"/>
      <c r="F34" s="190"/>
      <c r="G34" s="241"/>
      <c r="H34" s="236">
        <f t="shared" si="6"/>
        <v>35000</v>
      </c>
      <c r="I34" s="166">
        <v>17500</v>
      </c>
      <c r="J34" s="379">
        <f>'CRONOG DOLAR'!H33+'CRONOG DOLAR'!I33</f>
        <v>5950</v>
      </c>
      <c r="K34" s="381">
        <f>'CRONOG DOLAR'!J33+'CRONOG DOLAR'!K33+'CRONOG DOLAR'!L33+'CRONOG DOLAR'!M33</f>
        <v>7700</v>
      </c>
      <c r="L34" s="381">
        <f>'CRONOG DOLAR'!N33+'CRONOG DOLAR'!O33+'CRONOG DOLAR'!P33+'CRONOG DOLAR'!Q33</f>
        <v>3850</v>
      </c>
      <c r="M34" s="381">
        <f>'CRONOG DOLAR'!R33+'CRONOG DOLAR'!S33+'CRONOG DOLAR'!T33+'CRONOG DOLAR'!U33</f>
        <v>0</v>
      </c>
      <c r="N34" s="380">
        <f>'CRONOG DOLAR'!V33+'CRONOG DOLAR'!W33+'CRONOG DOLAR'!X33+'CRONOG DOLAR'!Y33</f>
        <v>0</v>
      </c>
      <c r="O34" s="380">
        <f>'CRONOG DOLAR'!Z33+'CRONOG DOLAR'!AA33+'CRONOG DOLAR'!AB33+'CRONOG DOLAR'!AC33</f>
        <v>0</v>
      </c>
      <c r="P34" s="387">
        <f>'CRONOG DOLAR'!AD33+'CRONOG DOLAR'!AE33</f>
        <v>0</v>
      </c>
      <c r="Q34" s="81"/>
      <c r="R34" s="81"/>
      <c r="S34" s="77"/>
      <c r="T34" s="82"/>
      <c r="U34" s="82"/>
    </row>
    <row r="35" spans="1:54" s="86" customFormat="1" ht="15" customHeight="1" thickBot="1">
      <c r="A35" s="186"/>
      <c r="B35" s="226"/>
      <c r="C35" s="226"/>
      <c r="D35" s="209" t="s">
        <v>91</v>
      </c>
      <c r="E35" s="189"/>
      <c r="F35" s="190" t="s">
        <v>41</v>
      </c>
      <c r="G35" s="241" t="s">
        <v>41</v>
      </c>
      <c r="H35" s="236">
        <f t="shared" si="6"/>
        <v>35000</v>
      </c>
      <c r="I35" s="166">
        <v>17500</v>
      </c>
      <c r="J35" s="379">
        <f>'CRONOG DOLAR'!H34+'CRONOG DOLAR'!I34</f>
        <v>0</v>
      </c>
      <c r="K35" s="381">
        <f>'CRONOG DOLAR'!J34+'CRONOG DOLAR'!K34+'CRONOG DOLAR'!L34+'CRONOG DOLAR'!M34</f>
        <v>12250</v>
      </c>
      <c r="L35" s="381">
        <f>'CRONOG DOLAR'!N34+'CRONOG DOLAR'!O34+'CRONOG DOLAR'!P34+'CRONOG DOLAR'!Q34</f>
        <v>5250</v>
      </c>
      <c r="M35" s="381">
        <f>'CRONOG DOLAR'!R34+'CRONOG DOLAR'!S34+'CRONOG DOLAR'!T34+'CRONOG DOLAR'!U34</f>
        <v>0</v>
      </c>
      <c r="N35" s="380">
        <f>'CRONOG DOLAR'!V34+'CRONOG DOLAR'!W34+'CRONOG DOLAR'!X34+'CRONOG DOLAR'!Y34</f>
        <v>0</v>
      </c>
      <c r="O35" s="380">
        <f>'CRONOG DOLAR'!Z34+'CRONOG DOLAR'!AA34+'CRONOG DOLAR'!AB34+'CRONOG DOLAR'!AC34</f>
        <v>0</v>
      </c>
      <c r="P35" s="387">
        <f>'CRONOG DOLAR'!AD34+'CRONOG DOLAR'!AE34</f>
        <v>0</v>
      </c>
      <c r="Q35" s="84"/>
      <c r="R35" s="84"/>
      <c r="S35" s="83"/>
      <c r="T35" s="84"/>
      <c r="U35" s="85"/>
    </row>
    <row r="36" spans="1:54" s="74" customFormat="1" ht="15" customHeight="1" thickBot="1">
      <c r="A36" s="186"/>
      <c r="B36" s="226"/>
      <c r="C36" s="226"/>
      <c r="D36" s="238" t="s">
        <v>92</v>
      </c>
      <c r="E36" s="244"/>
      <c r="F36" s="244"/>
      <c r="G36" s="245"/>
      <c r="H36" s="236">
        <f t="shared" si="6"/>
        <v>35000</v>
      </c>
      <c r="I36" s="166">
        <v>17500</v>
      </c>
      <c r="J36" s="379">
        <f>'CRONOG DOLAR'!H35+'CRONOG DOLAR'!I35</f>
        <v>9625</v>
      </c>
      <c r="K36" s="381">
        <f>'CRONOG DOLAR'!J35+'CRONOG DOLAR'!K35+'CRONOG DOLAR'!L35+'CRONOG DOLAR'!M35</f>
        <v>7875</v>
      </c>
      <c r="L36" s="381">
        <f>'CRONOG DOLAR'!N35+'CRONOG DOLAR'!O35+'CRONOG DOLAR'!P35+'CRONOG DOLAR'!Q35</f>
        <v>0</v>
      </c>
      <c r="M36" s="381">
        <f>'CRONOG DOLAR'!R35+'CRONOG DOLAR'!S35+'CRONOG DOLAR'!T35+'CRONOG DOLAR'!U35</f>
        <v>0</v>
      </c>
      <c r="N36" s="380">
        <f>'CRONOG DOLAR'!V35+'CRONOG DOLAR'!W35+'CRONOG DOLAR'!X35+'CRONOG DOLAR'!Y35</f>
        <v>0</v>
      </c>
      <c r="O36" s="380">
        <f>'CRONOG DOLAR'!Z35+'CRONOG DOLAR'!AA35+'CRONOG DOLAR'!AB35+'CRONOG DOLAR'!AC35</f>
        <v>0</v>
      </c>
      <c r="P36" s="387">
        <f>'CRONOG DOLAR'!AD35+'CRONOG DOLAR'!AE35</f>
        <v>0</v>
      </c>
      <c r="Q36" s="81"/>
      <c r="R36" s="81"/>
      <c r="S36" s="77"/>
      <c r="T36" s="82"/>
      <c r="U36" s="82"/>
    </row>
    <row r="37" spans="1:54" s="74" customFormat="1" ht="15" customHeight="1" thickBot="1">
      <c r="A37" s="186"/>
      <c r="B37" s="226"/>
      <c r="C37" s="226"/>
      <c r="D37" s="233" t="s">
        <v>93</v>
      </c>
      <c r="E37" s="234"/>
      <c r="F37" s="234"/>
      <c r="G37" s="235"/>
      <c r="H37" s="236">
        <f t="shared" si="6"/>
        <v>9500</v>
      </c>
      <c r="I37" s="173">
        <v>4750</v>
      </c>
      <c r="J37" s="379">
        <f>'CRONOG DOLAR'!H36+'CRONOG DOLAR'!I36</f>
        <v>2612.5</v>
      </c>
      <c r="K37" s="381">
        <f>'CRONOG DOLAR'!J36+'CRONOG DOLAR'!K36+'CRONOG DOLAR'!L36+'CRONOG DOLAR'!M36</f>
        <v>2137.5</v>
      </c>
      <c r="L37" s="381">
        <f>'CRONOG DOLAR'!N36+'CRONOG DOLAR'!O36+'CRONOG DOLAR'!P36+'CRONOG DOLAR'!Q36</f>
        <v>0</v>
      </c>
      <c r="M37" s="381">
        <f>'CRONOG DOLAR'!R36+'CRONOG DOLAR'!S36+'CRONOG DOLAR'!T36+'CRONOG DOLAR'!U36</f>
        <v>0</v>
      </c>
      <c r="N37" s="380">
        <f>'CRONOG DOLAR'!V36+'CRONOG DOLAR'!W36+'CRONOG DOLAR'!X36+'CRONOG DOLAR'!Y36</f>
        <v>0</v>
      </c>
      <c r="O37" s="380">
        <f>'CRONOG DOLAR'!Z36+'CRONOG DOLAR'!AA36+'CRONOG DOLAR'!AB36+'CRONOG DOLAR'!AC36</f>
        <v>0</v>
      </c>
      <c r="P37" s="387">
        <f>'CRONOG DOLAR'!AD36+'CRONOG DOLAR'!AE36</f>
        <v>0</v>
      </c>
      <c r="Q37" s="81"/>
      <c r="R37" s="81"/>
      <c r="S37" s="77"/>
      <c r="T37" s="82"/>
      <c r="U37" s="82"/>
    </row>
    <row r="38" spans="1:54" s="74" customFormat="1" ht="15" customHeight="1">
      <c r="A38" s="186"/>
      <c r="B38" s="226"/>
      <c r="C38" s="226"/>
      <c r="D38" s="238" t="s">
        <v>94</v>
      </c>
      <c r="E38" s="239"/>
      <c r="F38" s="239" t="s">
        <v>41</v>
      </c>
      <c r="G38" s="240"/>
      <c r="H38" s="236">
        <f t="shared" si="6"/>
        <v>214000</v>
      </c>
      <c r="I38" s="166">
        <v>107000</v>
      </c>
      <c r="J38" s="379">
        <f>'CRONOG DOLAR'!H37+'CRONOG DOLAR'!I37</f>
        <v>0</v>
      </c>
      <c r="K38" s="381">
        <f>'CRONOG DOLAR'!J37+'CRONOG DOLAR'!K37+'CRONOG DOLAR'!L37+'CRONOG DOLAR'!M37</f>
        <v>0</v>
      </c>
      <c r="L38" s="381">
        <f>'CRONOG DOLAR'!N37+'CRONOG DOLAR'!O37+'CRONOG DOLAR'!P37+'CRONOG DOLAR'!Q37</f>
        <v>7490.0000000000009</v>
      </c>
      <c r="M38" s="381">
        <f>'CRONOG DOLAR'!R37+'CRONOG DOLAR'!S37+'CRONOG DOLAR'!T37+'CRONOG DOLAR'!U37</f>
        <v>29960.000000000004</v>
      </c>
      <c r="N38" s="380">
        <f>'CRONOG DOLAR'!V37+'CRONOG DOLAR'!W37+'CRONOG DOLAR'!X37+'CRONOG DOLAR'!Y37</f>
        <v>29960.000000000004</v>
      </c>
      <c r="O38" s="380">
        <f>'CRONOG DOLAR'!Z37+'CRONOG DOLAR'!AA37+'CRONOG DOLAR'!AB37+'CRONOG DOLAR'!AC37</f>
        <v>26750</v>
      </c>
      <c r="P38" s="387">
        <f>'CRONOG DOLAR'!AD37+'CRONOG DOLAR'!AE37</f>
        <v>12840</v>
      </c>
      <c r="Q38" s="152">
        <v>96770</v>
      </c>
      <c r="R38" s="152">
        <v>10230</v>
      </c>
      <c r="S38" s="81"/>
      <c r="T38" s="81"/>
      <c r="U38" s="82"/>
    </row>
    <row r="39" spans="1:54" s="74" customFormat="1" ht="16.5" thickBot="1">
      <c r="A39" s="186"/>
      <c r="B39" s="226"/>
      <c r="C39" s="227"/>
      <c r="D39" s="209" t="s">
        <v>95</v>
      </c>
      <c r="E39" s="189" t="s">
        <v>49</v>
      </c>
      <c r="F39" s="190">
        <v>13</v>
      </c>
      <c r="G39" s="241">
        <f>H39/F39</f>
        <v>1338.4615384615386</v>
      </c>
      <c r="H39" s="236">
        <f t="shared" si="6"/>
        <v>17400</v>
      </c>
      <c r="I39" s="166">
        <v>8700</v>
      </c>
      <c r="J39" s="379">
        <f>'CRONOG DOLAR'!H38+'CRONOG DOLAR'!I38</f>
        <v>0</v>
      </c>
      <c r="K39" s="381">
        <f>'CRONOG DOLAR'!J38+'CRONOG DOLAR'!K38+'CRONOG DOLAR'!L38+'CRONOG DOLAR'!M38</f>
        <v>870</v>
      </c>
      <c r="L39" s="381">
        <f>'CRONOG DOLAR'!N38+'CRONOG DOLAR'!O38+'CRONOG DOLAR'!P38+'CRONOG DOLAR'!Q38</f>
        <v>1740</v>
      </c>
      <c r="M39" s="381">
        <f>'CRONOG DOLAR'!R38+'CRONOG DOLAR'!S38+'CRONOG DOLAR'!T38+'CRONOG DOLAR'!U38</f>
        <v>1740</v>
      </c>
      <c r="N39" s="380">
        <f>'CRONOG DOLAR'!V38+'CRONOG DOLAR'!W38+'CRONOG DOLAR'!X38+'CRONOG DOLAR'!Y38</f>
        <v>1740</v>
      </c>
      <c r="O39" s="380">
        <f>'CRONOG DOLAR'!Z38+'CRONOG DOLAR'!AA38+'CRONOG DOLAR'!AB38+'CRONOG DOLAR'!AC38</f>
        <v>1740</v>
      </c>
      <c r="P39" s="387">
        <f>'CRONOG DOLAR'!AD38+'CRONOG DOLAR'!AE38</f>
        <v>870</v>
      </c>
      <c r="Q39" s="75"/>
      <c r="R39" s="75">
        <f>Q38+R38</f>
        <v>107000</v>
      </c>
      <c r="S39" s="81"/>
      <c r="T39" s="82"/>
      <c r="U39" s="82"/>
    </row>
    <row r="40" spans="1:54" s="74" customFormat="1" ht="16.5" thickBot="1">
      <c r="A40" s="228" t="s">
        <v>19</v>
      </c>
      <c r="B40" s="880" t="s">
        <v>64</v>
      </c>
      <c r="C40" s="881"/>
      <c r="D40" s="882"/>
      <c r="E40" s="229" t="s">
        <v>49</v>
      </c>
      <c r="F40" s="229">
        <v>13</v>
      </c>
      <c r="G40" s="230">
        <v>35000</v>
      </c>
      <c r="H40" s="258">
        <f>H41+H42+H43+H44+H45+H46+H47+H48+H49+H50</f>
        <v>30000</v>
      </c>
      <c r="I40" s="258">
        <f>I41+I42+I43+I44+I45+I46+I47+I48+I49+I50</f>
        <v>15000</v>
      </c>
      <c r="J40" s="167">
        <f t="shared" ref="J40:P40" si="7">SUM(J41:J50)</f>
        <v>0</v>
      </c>
      <c r="K40" s="167">
        <f t="shared" si="7"/>
        <v>3032.7</v>
      </c>
      <c r="L40" s="167">
        <f t="shared" si="7"/>
        <v>3797.5</v>
      </c>
      <c r="M40" s="167">
        <f t="shared" si="7"/>
        <v>2791.4</v>
      </c>
      <c r="N40" s="167">
        <f t="shared" si="7"/>
        <v>2202.8000000000002</v>
      </c>
      <c r="O40" s="167">
        <f t="shared" si="7"/>
        <v>2124.4</v>
      </c>
      <c r="P40" s="167">
        <f t="shared" si="7"/>
        <v>1051.2</v>
      </c>
      <c r="Q40" s="75"/>
      <c r="R40" s="75"/>
      <c r="S40" s="81"/>
      <c r="T40" s="77"/>
      <c r="U40" s="82"/>
    </row>
    <row r="41" spans="1:54" s="74" customFormat="1" ht="30.75" thickBot="1">
      <c r="A41" s="231"/>
      <c r="B41" s="232"/>
      <c r="C41" s="232"/>
      <c r="D41" s="233" t="s">
        <v>97</v>
      </c>
      <c r="E41" s="234"/>
      <c r="F41" s="234"/>
      <c r="G41" s="235"/>
      <c r="H41" s="236">
        <f>I41*2</f>
        <v>5200</v>
      </c>
      <c r="I41" s="173">
        <v>2600</v>
      </c>
      <c r="J41" s="173">
        <f>'CRONOG DOLAR'!H40+'CRONOG DOLAR'!I40</f>
        <v>0</v>
      </c>
      <c r="K41" s="173">
        <f>'CRONOG DOLAR'!J40+'CRONOG DOLAR'!K40+'CRONOG DOLAR'!L40+'CRONOG DOLAR'!M40</f>
        <v>858</v>
      </c>
      <c r="L41" s="173">
        <f>'CRONOG DOLAR'!N40+'CRONOG DOLAR'!O40+'CRONOG DOLAR'!P40+'CRONOG DOLAR'!Q40</f>
        <v>312</v>
      </c>
      <c r="M41" s="237">
        <f>'CRONOG DOLAR'!R40+'CRONOG DOLAR'!S40+'CRONOG DOLAR'!T40+'CRONOG DOLAR'!U40</f>
        <v>390</v>
      </c>
      <c r="N41" s="237">
        <f>'CRONOG DOLAR'!V40+'CRONOG DOLAR'!W40+'CRONOG DOLAR'!X40+'CRONOG DOLAR'!Y40</f>
        <v>416</v>
      </c>
      <c r="O41" s="237">
        <f>'CRONOG DOLAR'!Z40+'CRONOG DOLAR'!AA40+'CRONOG DOLAR'!AB40+'CRONOG DOLAR'!AC40</f>
        <v>416</v>
      </c>
      <c r="P41" s="386">
        <f>'CRONOG DOLAR'!AD40+'CRONOG DOLAR'!AE40</f>
        <v>208</v>
      </c>
      <c r="Q41" s="75"/>
      <c r="R41" s="75"/>
      <c r="S41" s="81"/>
      <c r="T41" s="77"/>
      <c r="U41" s="82"/>
    </row>
    <row r="42" spans="1:54" s="72" customFormat="1" ht="15.75">
      <c r="A42" s="231"/>
      <c r="B42" s="232"/>
      <c r="C42" s="232"/>
      <c r="D42" s="238" t="s">
        <v>98</v>
      </c>
      <c r="E42" s="239" t="s">
        <v>41</v>
      </c>
      <c r="F42" s="239" t="s">
        <v>41</v>
      </c>
      <c r="G42" s="240" t="s">
        <v>41</v>
      </c>
      <c r="H42" s="236">
        <f t="shared" ref="H42:H50" si="8">I42*2</f>
        <v>9120</v>
      </c>
      <c r="I42" s="166">
        <v>4560</v>
      </c>
      <c r="J42" s="173">
        <f>'CRONOG DOLAR'!H41+'CRONOG DOLAR'!I41</f>
        <v>0</v>
      </c>
      <c r="K42" s="173">
        <f>'CRONOG DOLAR'!J41+'CRONOG DOLAR'!K41+'CRONOG DOLAR'!L41+'CRONOG DOLAR'!M41</f>
        <v>547.20000000000005</v>
      </c>
      <c r="L42" s="173">
        <f>'CRONOG DOLAR'!N41+'CRONOG DOLAR'!O41+'CRONOG DOLAR'!P41+'CRONOG DOLAR'!Q41</f>
        <v>820.8</v>
      </c>
      <c r="M42" s="237">
        <f>'CRONOG DOLAR'!R41+'CRONOG DOLAR'!S41+'CRONOG DOLAR'!T41+'CRONOG DOLAR'!U41</f>
        <v>912</v>
      </c>
      <c r="N42" s="237">
        <f>'CRONOG DOLAR'!V41+'CRONOG DOLAR'!W41+'CRONOG DOLAR'!X41+'CRONOG DOLAR'!Y41</f>
        <v>912</v>
      </c>
      <c r="O42" s="237">
        <f>'CRONOG DOLAR'!Z41+'CRONOG DOLAR'!AA41+'CRONOG DOLAR'!AB41+'CRONOG DOLAR'!AC41</f>
        <v>912</v>
      </c>
      <c r="P42" s="386">
        <f>'CRONOG DOLAR'!AD41+'CRONOG DOLAR'!AE41</f>
        <v>456</v>
      </c>
      <c r="Q42" s="87"/>
      <c r="R42" s="87"/>
      <c r="S42" s="73"/>
      <c r="T42" s="73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</row>
    <row r="43" spans="1:54" s="74" customFormat="1" ht="15" customHeight="1">
      <c r="A43" s="231"/>
      <c r="B43" s="232"/>
      <c r="C43" s="232"/>
      <c r="D43" s="209" t="s">
        <v>96</v>
      </c>
      <c r="E43" s="189" t="s">
        <v>51</v>
      </c>
      <c r="F43" s="190">
        <v>3</v>
      </c>
      <c r="G43" s="241">
        <v>80000</v>
      </c>
      <c r="H43" s="236">
        <f t="shared" si="8"/>
        <v>4400</v>
      </c>
      <c r="I43" s="166">
        <v>2200</v>
      </c>
      <c r="J43" s="173">
        <f>'CRONOG DOLAR'!H42+'CRONOG DOLAR'!I42</f>
        <v>0</v>
      </c>
      <c r="K43" s="173">
        <f>'CRONOG DOLAR'!J42+'CRONOG DOLAR'!K42+'CRONOG DOLAR'!L42+'CRONOG DOLAR'!M42</f>
        <v>132</v>
      </c>
      <c r="L43" s="173">
        <f>'CRONOG DOLAR'!N42+'CRONOG DOLAR'!O42+'CRONOG DOLAR'!P42+'CRONOG DOLAR'!Q42</f>
        <v>462</v>
      </c>
      <c r="M43" s="237">
        <f>'CRONOG DOLAR'!R42+'CRONOG DOLAR'!S42+'CRONOG DOLAR'!T42+'CRONOG DOLAR'!U42</f>
        <v>462</v>
      </c>
      <c r="N43" s="237">
        <f>'CRONOG DOLAR'!V42+'CRONOG DOLAR'!W42+'CRONOG DOLAR'!X42+'CRONOG DOLAR'!Y42</f>
        <v>462</v>
      </c>
      <c r="O43" s="237">
        <f>'CRONOG DOLAR'!Z42+'CRONOG DOLAR'!AA42+'CRONOG DOLAR'!AB42+'CRONOG DOLAR'!AC42</f>
        <v>462</v>
      </c>
      <c r="P43" s="386">
        <f>'CRONOG DOLAR'!AD42+'CRONOG DOLAR'!AE42</f>
        <v>220</v>
      </c>
      <c r="Q43" s="75"/>
      <c r="R43" s="75"/>
      <c r="S43" s="76"/>
      <c r="T43" s="75"/>
      <c r="U43" s="77"/>
    </row>
    <row r="44" spans="1:54" s="74" customFormat="1" ht="30">
      <c r="A44" s="231"/>
      <c r="B44" s="232"/>
      <c r="C44" s="232"/>
      <c r="D44" s="243" t="s">
        <v>99</v>
      </c>
      <c r="E44" s="189"/>
      <c r="F44" s="190"/>
      <c r="G44" s="241"/>
      <c r="H44" s="236">
        <f t="shared" si="8"/>
        <v>2000</v>
      </c>
      <c r="I44" s="166">
        <v>1000</v>
      </c>
      <c r="J44" s="173">
        <f>'CRONOG DOLAR'!H43+'CRONOG DOLAR'!I43</f>
        <v>0</v>
      </c>
      <c r="K44" s="173">
        <f>'CRONOG DOLAR'!J43+'CRONOG DOLAR'!K43+'CRONOG DOLAR'!L43+'CRONOG DOLAR'!M43</f>
        <v>370</v>
      </c>
      <c r="L44" s="173">
        <f>'CRONOG DOLAR'!N43+'CRONOG DOLAR'!O43+'CRONOG DOLAR'!P43+'CRONOG DOLAR'!Q43</f>
        <v>500</v>
      </c>
      <c r="M44" s="237">
        <f>'CRONOG DOLAR'!R43+'CRONOG DOLAR'!S43+'CRONOG DOLAR'!T43+'CRONOG DOLAR'!U43</f>
        <v>130</v>
      </c>
      <c r="N44" s="237">
        <f>'CRONOG DOLAR'!V43+'CRONOG DOLAR'!W43+'CRONOG DOLAR'!X43+'CRONOG DOLAR'!Y43</f>
        <v>0</v>
      </c>
      <c r="O44" s="237">
        <f>'CRONOG DOLAR'!Z43+'CRONOG DOLAR'!AA43+'CRONOG DOLAR'!AB43+'CRONOG DOLAR'!AC43</f>
        <v>0</v>
      </c>
      <c r="P44" s="386">
        <f>'CRONOG DOLAR'!AD43+'CRONOG DOLAR'!AE43</f>
        <v>0</v>
      </c>
      <c r="Q44" s="75"/>
      <c r="R44" s="75"/>
      <c r="S44" s="76"/>
      <c r="T44" s="75"/>
      <c r="U44" s="77"/>
    </row>
    <row r="45" spans="1:54" s="74" customFormat="1" ht="30">
      <c r="A45" s="231"/>
      <c r="B45" s="232"/>
      <c r="C45" s="232"/>
      <c r="D45" s="243" t="s">
        <v>107</v>
      </c>
      <c r="E45" s="189"/>
      <c r="F45" s="190"/>
      <c r="G45" s="241"/>
      <c r="H45" s="236">
        <f t="shared" si="8"/>
        <v>1000</v>
      </c>
      <c r="I45" s="166">
        <v>500</v>
      </c>
      <c r="J45" s="173">
        <f>'CRONOG DOLAR'!H44+'CRONOG DOLAR'!I44</f>
        <v>0</v>
      </c>
      <c r="K45" s="173">
        <f>'CRONOG DOLAR'!J44+'CRONOG DOLAR'!K44+'CRONOG DOLAR'!L44+'CRONOG DOLAR'!M44</f>
        <v>0</v>
      </c>
      <c r="L45" s="173">
        <f>'CRONOG DOLAR'!N44+'CRONOG DOLAR'!O44+'CRONOG DOLAR'!P44+'CRONOG DOLAR'!Q44</f>
        <v>185</v>
      </c>
      <c r="M45" s="237">
        <f>'CRONOG DOLAR'!R44+'CRONOG DOLAR'!S44+'CRONOG DOLAR'!T44+'CRONOG DOLAR'!U44</f>
        <v>250</v>
      </c>
      <c r="N45" s="237">
        <f>'CRONOG DOLAR'!V44+'CRONOG DOLAR'!W44+'CRONOG DOLAR'!X44+'CRONOG DOLAR'!Y44</f>
        <v>65</v>
      </c>
      <c r="O45" s="237">
        <f>'CRONOG DOLAR'!Z44+'CRONOG DOLAR'!AA44+'CRONOG DOLAR'!AB44+'CRONOG DOLAR'!AC44</f>
        <v>0</v>
      </c>
      <c r="P45" s="386">
        <f>'CRONOG DOLAR'!AD44+'CRONOG DOLAR'!AE44</f>
        <v>0</v>
      </c>
      <c r="Q45" s="75"/>
      <c r="R45" s="75"/>
      <c r="S45" s="76"/>
      <c r="T45" s="75"/>
      <c r="U45" s="77"/>
    </row>
    <row r="46" spans="1:54" s="74" customFormat="1" ht="16.5" thickBot="1">
      <c r="A46" s="231"/>
      <c r="B46" s="232"/>
      <c r="C46" s="232"/>
      <c r="D46" s="209" t="s">
        <v>100</v>
      </c>
      <c r="E46" s="189"/>
      <c r="F46" s="190"/>
      <c r="G46" s="241"/>
      <c r="H46" s="236">
        <f t="shared" si="8"/>
        <v>2000</v>
      </c>
      <c r="I46" s="166">
        <v>1000</v>
      </c>
      <c r="J46" s="173">
        <f>'CRONOG DOLAR'!H45+'CRONOG DOLAR'!I45</f>
        <v>0</v>
      </c>
      <c r="K46" s="173">
        <f>'CRONOG DOLAR'!J45+'CRONOG DOLAR'!K45+'CRONOG DOLAR'!L45+'CRONOG DOLAR'!M45</f>
        <v>260</v>
      </c>
      <c r="L46" s="173">
        <f>'CRONOG DOLAR'!N45+'CRONOG DOLAR'!O45+'CRONOG DOLAR'!P45+'CRONOG DOLAR'!Q45</f>
        <v>320</v>
      </c>
      <c r="M46" s="237">
        <f>'CRONOG DOLAR'!R45+'CRONOG DOLAR'!S45+'CRONOG DOLAR'!T45+'CRONOG DOLAR'!U45</f>
        <v>120</v>
      </c>
      <c r="N46" s="237">
        <f>'CRONOG DOLAR'!V45+'CRONOG DOLAR'!W45+'CRONOG DOLAR'!X45+'CRONOG DOLAR'!Y45</f>
        <v>120</v>
      </c>
      <c r="O46" s="237">
        <f>'CRONOG DOLAR'!Z45+'CRONOG DOLAR'!AA45+'CRONOG DOLAR'!AB45+'CRONOG DOLAR'!AC45</f>
        <v>120</v>
      </c>
      <c r="P46" s="386">
        <f>'CRONOG DOLAR'!AD45+'CRONOG DOLAR'!AE45</f>
        <v>60</v>
      </c>
      <c r="Q46" s="75"/>
      <c r="R46" s="75"/>
      <c r="S46" s="76"/>
      <c r="T46" s="75"/>
      <c r="U46" s="77"/>
    </row>
    <row r="47" spans="1:54" s="72" customFormat="1" ht="30">
      <c r="A47" s="231"/>
      <c r="B47" s="232"/>
      <c r="C47" s="232"/>
      <c r="D47" s="233" t="s">
        <v>101</v>
      </c>
      <c r="E47" s="239" t="s">
        <v>41</v>
      </c>
      <c r="F47" s="239" t="s">
        <v>41</v>
      </c>
      <c r="G47" s="240" t="s">
        <v>41</v>
      </c>
      <c r="H47" s="236">
        <f t="shared" si="8"/>
        <v>2680</v>
      </c>
      <c r="I47" s="166">
        <v>1340</v>
      </c>
      <c r="J47" s="173">
        <f>'CRONOG DOLAR'!H46+'CRONOG DOLAR'!I46</f>
        <v>0</v>
      </c>
      <c r="K47" s="173">
        <f>'CRONOG DOLAR'!J46+'CRONOG DOLAR'!K46+'CRONOG DOLAR'!L46+'CRONOG DOLAR'!M46</f>
        <v>268</v>
      </c>
      <c r="L47" s="173">
        <f>'CRONOG DOLAR'!N46+'CRONOG DOLAR'!O46+'CRONOG DOLAR'!P46+'CRONOG DOLAR'!Q46</f>
        <v>308.2</v>
      </c>
      <c r="M47" s="237">
        <f>'CRONOG DOLAR'!R46+'CRONOG DOLAR'!S46+'CRONOG DOLAR'!T46+'CRONOG DOLAR'!U46</f>
        <v>214.4</v>
      </c>
      <c r="N47" s="237">
        <f>'CRONOG DOLAR'!V46+'CRONOG DOLAR'!W46+'CRONOG DOLAR'!X46+'CRONOG DOLAR'!Y46</f>
        <v>227.79999999999998</v>
      </c>
      <c r="O47" s="237">
        <f>'CRONOG DOLAR'!Z46+'CRONOG DOLAR'!AA46+'CRONOG DOLAR'!AB46+'CRONOG DOLAR'!AC46</f>
        <v>214.4</v>
      </c>
      <c r="P47" s="386">
        <f>'CRONOG DOLAR'!AD46+'CRONOG DOLAR'!AE46</f>
        <v>107.2</v>
      </c>
      <c r="Q47" s="87"/>
      <c r="R47" s="87"/>
      <c r="S47" s="73"/>
      <c r="T47" s="73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</row>
    <row r="48" spans="1:54" s="74" customFormat="1" ht="15" customHeight="1">
      <c r="A48" s="186"/>
      <c r="B48" s="226"/>
      <c r="C48" s="226"/>
      <c r="D48" s="238" t="s">
        <v>102</v>
      </c>
      <c r="E48" s="189"/>
      <c r="F48" s="190"/>
      <c r="G48" s="241"/>
      <c r="H48" s="236">
        <f t="shared" si="8"/>
        <v>1000</v>
      </c>
      <c r="I48" s="166">
        <v>500</v>
      </c>
      <c r="J48" s="173">
        <f>'CRONOG DOLAR'!H47+'CRONOG DOLAR'!I47</f>
        <v>0</v>
      </c>
      <c r="K48" s="173">
        <f>'CRONOG DOLAR'!J47+'CRONOG DOLAR'!K47+'CRONOG DOLAR'!L47+'CRONOG DOLAR'!M47</f>
        <v>0</v>
      </c>
      <c r="L48" s="173">
        <f>'CRONOG DOLAR'!N47+'CRONOG DOLAR'!O47+'CRONOG DOLAR'!P47+'CRONOG DOLAR'!Q47</f>
        <v>350</v>
      </c>
      <c r="M48" s="237">
        <f>'CRONOG DOLAR'!R47+'CRONOG DOLAR'!S47+'CRONOG DOLAR'!T47+'CRONOG DOLAR'!U47</f>
        <v>150</v>
      </c>
      <c r="N48" s="237">
        <f>'CRONOG DOLAR'!V47+'CRONOG DOLAR'!W47+'CRONOG DOLAR'!X47+'CRONOG DOLAR'!Y47</f>
        <v>0</v>
      </c>
      <c r="O48" s="237">
        <f>'CRONOG DOLAR'!Z47+'CRONOG DOLAR'!AA47+'CRONOG DOLAR'!AB47+'CRONOG DOLAR'!AC47</f>
        <v>0</v>
      </c>
      <c r="P48" s="386">
        <f>'CRONOG DOLAR'!AD47+'CRONOG DOLAR'!AE47</f>
        <v>0</v>
      </c>
      <c r="Q48" s="75"/>
      <c r="R48" s="75"/>
      <c r="S48" s="76"/>
      <c r="T48" s="75"/>
      <c r="U48" s="77"/>
    </row>
    <row r="49" spans="1:54" s="74" customFormat="1" ht="16.5" thickBot="1">
      <c r="A49" s="186"/>
      <c r="B49" s="226"/>
      <c r="C49" s="226"/>
      <c r="D49" s="209" t="s">
        <v>103</v>
      </c>
      <c r="E49" s="189"/>
      <c r="F49" s="190"/>
      <c r="G49" s="241"/>
      <c r="H49" s="236">
        <f t="shared" si="8"/>
        <v>700</v>
      </c>
      <c r="I49" s="166">
        <v>350</v>
      </c>
      <c r="J49" s="173">
        <f>'CRONOG DOLAR'!H48+'CRONOG DOLAR'!I48</f>
        <v>0</v>
      </c>
      <c r="K49" s="173">
        <f>'CRONOG DOLAR'!J48+'CRONOG DOLAR'!K48+'CRONOG DOLAR'!L48+'CRONOG DOLAR'!M48</f>
        <v>122.5</v>
      </c>
      <c r="L49" s="173">
        <f>'CRONOG DOLAR'!N48+'CRONOG DOLAR'!O48+'CRONOG DOLAR'!P48+'CRONOG DOLAR'!Q48</f>
        <v>178.5</v>
      </c>
      <c r="M49" s="237">
        <f>'CRONOG DOLAR'!R48+'CRONOG DOLAR'!S48+'CRONOG DOLAR'!T48+'CRONOG DOLAR'!U48</f>
        <v>49.000000000000007</v>
      </c>
      <c r="N49" s="237">
        <f>'CRONOG DOLAR'!V48+'CRONOG DOLAR'!W48+'CRONOG DOLAR'!X48+'CRONOG DOLAR'!Y48</f>
        <v>0</v>
      </c>
      <c r="O49" s="237">
        <f>'CRONOG DOLAR'!Z48+'CRONOG DOLAR'!AA48+'CRONOG DOLAR'!AB48+'CRONOG DOLAR'!AC48</f>
        <v>0</v>
      </c>
      <c r="P49" s="386">
        <f>'CRONOG DOLAR'!AD48+'CRONOG DOLAR'!AE48</f>
        <v>0</v>
      </c>
      <c r="Q49" s="75"/>
      <c r="R49" s="75"/>
      <c r="S49" s="76"/>
      <c r="T49" s="75"/>
      <c r="U49" s="77"/>
    </row>
    <row r="50" spans="1:54" s="74" customFormat="1" ht="21" customHeight="1" thickBot="1">
      <c r="A50" s="186"/>
      <c r="B50" s="226"/>
      <c r="C50" s="226"/>
      <c r="D50" s="238" t="s">
        <v>104</v>
      </c>
      <c r="E50" s="244" t="s">
        <v>41</v>
      </c>
      <c r="F50" s="244" t="s">
        <v>41</v>
      </c>
      <c r="G50" s="245" t="s">
        <v>41</v>
      </c>
      <c r="H50" s="236">
        <f t="shared" si="8"/>
        <v>1900</v>
      </c>
      <c r="I50" s="166">
        <v>950</v>
      </c>
      <c r="J50" s="173">
        <f>'CRONOG DOLAR'!H49+'CRONOG DOLAR'!I49</f>
        <v>0</v>
      </c>
      <c r="K50" s="173">
        <f>'CRONOG DOLAR'!J49+'CRONOG DOLAR'!K49+'CRONOG DOLAR'!L49+'CRONOG DOLAR'!M49</f>
        <v>475</v>
      </c>
      <c r="L50" s="173">
        <f>'CRONOG DOLAR'!N49+'CRONOG DOLAR'!O49+'CRONOG DOLAR'!P49+'CRONOG DOLAR'!Q49</f>
        <v>361</v>
      </c>
      <c r="M50" s="237">
        <f>'CRONOG DOLAR'!R49+'CRONOG DOLAR'!S49+'CRONOG DOLAR'!T49+'CRONOG DOLAR'!U49</f>
        <v>114</v>
      </c>
      <c r="N50" s="237">
        <f>'CRONOG DOLAR'!V49+'CRONOG DOLAR'!W49+'CRONOG DOLAR'!X49+'CRONOG DOLAR'!Y49</f>
        <v>0</v>
      </c>
      <c r="O50" s="237">
        <f>'CRONOG DOLAR'!Z49+'CRONOG DOLAR'!AA49+'CRONOG DOLAR'!AB49+'CRONOG DOLAR'!AC49</f>
        <v>0</v>
      </c>
      <c r="P50" s="386">
        <f>'CRONOG DOLAR'!AD49+'CRONOG DOLAR'!AE49</f>
        <v>0</v>
      </c>
      <c r="Q50" s="87"/>
      <c r="R50" s="87"/>
      <c r="S50" s="73"/>
      <c r="T50" s="73"/>
    </row>
    <row r="51" spans="1:54" ht="15.75" customHeight="1">
      <c r="A51" s="246" t="s">
        <v>20</v>
      </c>
      <c r="B51" s="883" t="s">
        <v>21</v>
      </c>
      <c r="C51" s="884"/>
      <c r="D51" s="885"/>
      <c r="E51" s="247"/>
      <c r="F51" s="247"/>
      <c r="G51" s="248"/>
      <c r="H51" s="168">
        <f>H53+H52</f>
        <v>2000</v>
      </c>
      <c r="I51" s="168">
        <f>I53+I52</f>
        <v>1000</v>
      </c>
      <c r="J51" s="168">
        <f t="shared" ref="J51:P51" si="9">J53+J52</f>
        <v>0</v>
      </c>
      <c r="K51" s="168">
        <f t="shared" si="9"/>
        <v>94</v>
      </c>
      <c r="L51" s="168">
        <f t="shared" si="9"/>
        <v>184</v>
      </c>
      <c r="M51" s="168">
        <f t="shared" si="9"/>
        <v>184</v>
      </c>
      <c r="N51" s="168">
        <f t="shared" si="9"/>
        <v>184</v>
      </c>
      <c r="O51" s="249">
        <f t="shared" si="9"/>
        <v>184</v>
      </c>
      <c r="P51" s="249">
        <f t="shared" si="9"/>
        <v>170</v>
      </c>
      <c r="Q51" s="74"/>
      <c r="R51" s="74"/>
      <c r="S51" s="82"/>
      <c r="T51" s="82"/>
      <c r="U51" s="82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</row>
    <row r="52" spans="1:54" ht="15.75">
      <c r="A52" s="186"/>
      <c r="B52" s="187"/>
      <c r="C52" s="187"/>
      <c r="D52" s="209" t="s">
        <v>50</v>
      </c>
      <c r="E52" s="250"/>
      <c r="F52" s="250"/>
      <c r="G52" s="88"/>
      <c r="H52" s="251">
        <f>I52*2</f>
        <v>1200</v>
      </c>
      <c r="I52" s="166">
        <v>600</v>
      </c>
      <c r="J52" s="166">
        <f>'CRONOG DOLAR'!H51+'CRONOG DOLAR'!I51</f>
        <v>0</v>
      </c>
      <c r="K52" s="166">
        <f>'CRONOG DOLAR'!J51+'CRONOG DOLAR'!K51+'CRONOG DOLAR'!L51+'CRONOG DOLAR'!M51</f>
        <v>30</v>
      </c>
      <c r="L52" s="166">
        <f>'CRONOG DOLAR'!N51+'CRONOG DOLAR'!O51+'CRONOG DOLAR'!P51+'CRONOG DOLAR'!Q51</f>
        <v>120</v>
      </c>
      <c r="M52" s="242">
        <f>'CRONOG DOLAR'!R51+'CRONOG DOLAR'!S51+'CRONOG DOLAR'!T51+'CRONOG DOLAR'!U51</f>
        <v>120</v>
      </c>
      <c r="N52" s="242">
        <f>'CRONOG DOLAR'!V51+'CRONOG DOLAR'!W51+'CRONOG DOLAR'!X51+'CRONOG DOLAR'!Y51</f>
        <v>120</v>
      </c>
      <c r="O52" s="242">
        <f>'CRONOG DOLAR'!Z51+'CRONOG DOLAR'!AA51+'CRONOG DOLAR'!AB51+'CRONOG DOLAR'!AC51</f>
        <v>120</v>
      </c>
      <c r="P52" s="389">
        <f>'CRONOG DOLAR'!AD51+'CRONOG DOLAR'!AE51</f>
        <v>90</v>
      </c>
      <c r="Q52" s="74"/>
      <c r="R52" s="74"/>
      <c r="S52" s="82"/>
      <c r="T52" s="82"/>
      <c r="U52" s="82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</row>
    <row r="53" spans="1:54" ht="16.5" thickBot="1">
      <c r="A53" s="186"/>
      <c r="B53" s="187"/>
      <c r="C53" s="187"/>
      <c r="D53" s="209" t="s">
        <v>52</v>
      </c>
      <c r="E53" s="250"/>
      <c r="F53" s="250"/>
      <c r="G53" s="88"/>
      <c r="H53" s="251">
        <f>I53*2</f>
        <v>800</v>
      </c>
      <c r="I53" s="166">
        <v>400</v>
      </c>
      <c r="J53" s="166">
        <f>'CRONOG DOLAR'!H52+'CRONOG DOLAR'!I52</f>
        <v>0</v>
      </c>
      <c r="K53" s="166">
        <f>'CRONOG DOLAR'!J52+'CRONOG DOLAR'!K52+'CRONOG DOLAR'!L52+'CRONOG DOLAR'!M52</f>
        <v>64</v>
      </c>
      <c r="L53" s="166">
        <f>'CRONOG DOLAR'!N52+'CRONOG DOLAR'!O52+'CRONOG DOLAR'!P52+'CRONOG DOLAR'!Q52</f>
        <v>64</v>
      </c>
      <c r="M53" s="242">
        <f>'CRONOG DOLAR'!R52+'CRONOG DOLAR'!S52+'CRONOG DOLAR'!T52+'CRONOG DOLAR'!U52</f>
        <v>64</v>
      </c>
      <c r="N53" s="242">
        <f>'CRONOG DOLAR'!V52+'CRONOG DOLAR'!W52+'CRONOG DOLAR'!X52+'CRONOG DOLAR'!Y52</f>
        <v>64</v>
      </c>
      <c r="O53" s="242">
        <f>'CRONOG DOLAR'!Z52+'CRONOG DOLAR'!AA52+'CRONOG DOLAR'!AB52+'CRONOG DOLAR'!AC52</f>
        <v>64</v>
      </c>
      <c r="P53" s="389">
        <f>'CRONOG DOLAR'!AD52+'CRONOG DOLAR'!AE52</f>
        <v>80</v>
      </c>
      <c r="Q53" s="74"/>
      <c r="R53" s="74"/>
      <c r="S53" s="82"/>
      <c r="T53" s="82"/>
      <c r="U53" s="82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</row>
    <row r="54" spans="1:54" ht="15.75" customHeight="1">
      <c r="A54" s="252" t="s">
        <v>27</v>
      </c>
      <c r="B54" s="886" t="s">
        <v>25</v>
      </c>
      <c r="C54" s="887"/>
      <c r="D54" s="888"/>
      <c r="E54" s="247"/>
      <c r="F54" s="247"/>
      <c r="G54" s="248"/>
      <c r="H54" s="168">
        <f>H55</f>
        <v>30000</v>
      </c>
      <c r="I54" s="168">
        <f>I55</f>
        <v>15000</v>
      </c>
      <c r="J54" s="168">
        <f t="shared" ref="J54:P54" si="10">J55</f>
        <v>0</v>
      </c>
      <c r="K54" s="168">
        <f t="shared" si="10"/>
        <v>2400</v>
      </c>
      <c r="L54" s="168">
        <f t="shared" si="10"/>
        <v>2400</v>
      </c>
      <c r="M54" s="168">
        <f t="shared" si="10"/>
        <v>2700</v>
      </c>
      <c r="N54" s="168">
        <f t="shared" si="10"/>
        <v>3000</v>
      </c>
      <c r="O54" s="249">
        <f t="shared" si="10"/>
        <v>3000</v>
      </c>
      <c r="P54" s="249">
        <f t="shared" si="10"/>
        <v>1500</v>
      </c>
      <c r="Q54" s="74"/>
      <c r="R54" s="74"/>
      <c r="S54" s="82"/>
      <c r="T54" s="82"/>
      <c r="U54" s="82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</row>
    <row r="55" spans="1:54" ht="16.5" thickBot="1">
      <c r="A55" s="186"/>
      <c r="B55" s="187"/>
      <c r="C55" s="187"/>
      <c r="D55" s="209" t="s">
        <v>53</v>
      </c>
      <c r="E55" s="250"/>
      <c r="F55" s="250"/>
      <c r="G55" s="88"/>
      <c r="H55" s="251">
        <f>I55*2</f>
        <v>30000</v>
      </c>
      <c r="I55" s="166">
        <v>15000</v>
      </c>
      <c r="J55" s="166">
        <f>'CRONOG DOLAR'!H54+'CRONOG DOLAR'!I54</f>
        <v>0</v>
      </c>
      <c r="K55" s="166">
        <f>'CRONOG DOLAR'!J54+'CRONOG DOLAR'!K54+'CRONOG DOLAR'!L54+'CRONOG DOLAR'!M54</f>
        <v>2400</v>
      </c>
      <c r="L55" s="166">
        <f>'CRONOG DOLAR'!N54+'CRONOG DOLAR'!O54+'CRONOG DOLAR'!P54+'CRONOG DOLAR'!Q54</f>
        <v>2400</v>
      </c>
      <c r="M55" s="242">
        <f>'CRONOG DOLAR'!R54+'CRONOG DOLAR'!S54+'CRONOG DOLAR'!T54+'CRONOG DOLAR'!U54</f>
        <v>2700</v>
      </c>
      <c r="N55" s="242">
        <f>'CRONOG DOLAR'!V54+'CRONOG DOLAR'!W54+'CRONOG DOLAR'!X54+'CRONOG DOLAR'!Y54</f>
        <v>3000</v>
      </c>
      <c r="O55" s="242">
        <f>'CRONOG DOLAR'!Z54+'CRONOG DOLAR'!AA54+'CRONOG DOLAR'!AB54+'CRONOG DOLAR'!AC54</f>
        <v>3000</v>
      </c>
      <c r="P55" s="389">
        <f>'CRONOG DOLAR'!AD54+'CRONOG DOLAR'!AE54</f>
        <v>1500</v>
      </c>
      <c r="Q55" s="74"/>
      <c r="R55" s="74"/>
      <c r="S55" s="82"/>
      <c r="T55" s="82"/>
      <c r="U55" s="82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</row>
    <row r="56" spans="1:54" ht="16.5" thickBot="1">
      <c r="A56" s="877" t="s">
        <v>54</v>
      </c>
      <c r="B56" s="878"/>
      <c r="C56" s="878"/>
      <c r="D56" s="879"/>
      <c r="E56" s="253"/>
      <c r="F56" s="253"/>
      <c r="G56" s="254"/>
      <c r="H56" s="255">
        <f>H54+H51+H12+H6</f>
        <v>660000</v>
      </c>
      <c r="I56" s="255">
        <f t="shared" ref="I56:P56" si="11">I54+I51+I12+I6</f>
        <v>330000</v>
      </c>
      <c r="J56" s="255">
        <f t="shared" si="11"/>
        <v>33214.5</v>
      </c>
      <c r="K56" s="255">
        <f t="shared" si="11"/>
        <v>82317.2</v>
      </c>
      <c r="L56" s="255">
        <f t="shared" si="11"/>
        <v>65673.5</v>
      </c>
      <c r="M56" s="255">
        <f t="shared" si="11"/>
        <v>55730.9</v>
      </c>
      <c r="N56" s="255">
        <f t="shared" si="11"/>
        <v>40260.300000000003</v>
      </c>
      <c r="O56" s="255">
        <f t="shared" si="11"/>
        <v>35695.4</v>
      </c>
      <c r="P56" s="255">
        <f t="shared" si="11"/>
        <v>17108.2</v>
      </c>
      <c r="Q56" s="390">
        <f>SUM(J56:P56)</f>
        <v>330000.00000000006</v>
      </c>
      <c r="R56" s="74"/>
      <c r="S56" s="82"/>
      <c r="T56" s="82"/>
      <c r="U56" s="82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</row>
    <row r="57" spans="1:54" ht="15.75">
      <c r="S57" s="89"/>
      <c r="T57" s="89"/>
      <c r="U57" s="89"/>
    </row>
    <row r="58" spans="1:54" ht="6.75" customHeight="1">
      <c r="S58" s="89"/>
      <c r="T58" s="89"/>
      <c r="U58" s="89"/>
    </row>
    <row r="59" spans="1:54" ht="6.75" customHeight="1">
      <c r="S59" s="89"/>
      <c r="T59" s="89"/>
      <c r="U59" s="89"/>
    </row>
    <row r="60" spans="1:54" ht="6.75" customHeight="1">
      <c r="S60" s="89"/>
      <c r="T60" s="89"/>
      <c r="U60" s="89"/>
    </row>
    <row r="61" spans="1:54" ht="6.75" customHeight="1">
      <c r="S61" s="89"/>
      <c r="T61" s="89"/>
      <c r="U61" s="89"/>
    </row>
    <row r="62" spans="1:54" ht="6.75" customHeight="1">
      <c r="S62" s="89"/>
      <c r="T62" s="89"/>
      <c r="U62" s="89"/>
    </row>
    <row r="63" spans="1:54" ht="6.75" customHeight="1">
      <c r="S63" s="89"/>
      <c r="T63" s="89"/>
      <c r="U63" s="89"/>
    </row>
    <row r="64" spans="1:54" ht="6.75" customHeight="1">
      <c r="S64" s="89"/>
      <c r="T64" s="89"/>
      <c r="U64" s="89"/>
    </row>
    <row r="65" spans="19:21" ht="6.75" customHeight="1">
      <c r="S65" s="89"/>
      <c r="T65" s="89"/>
      <c r="U65" s="89"/>
    </row>
    <row r="66" spans="19:21" ht="6.75" customHeight="1">
      <c r="S66" s="89"/>
      <c r="T66" s="89"/>
      <c r="U66" s="89"/>
    </row>
    <row r="67" spans="19:21" ht="6.75" customHeight="1">
      <c r="S67" s="89"/>
      <c r="T67" s="89"/>
      <c r="U67" s="89"/>
    </row>
    <row r="68" spans="19:21" ht="6.75" customHeight="1">
      <c r="S68" s="89"/>
      <c r="T68" s="89"/>
      <c r="U68" s="89"/>
    </row>
    <row r="69" spans="19:21" ht="6.75" customHeight="1">
      <c r="S69" s="89"/>
      <c r="T69" s="89"/>
      <c r="U69" s="89"/>
    </row>
    <row r="70" spans="19:21" ht="6.75" customHeight="1">
      <c r="S70" s="89"/>
      <c r="T70" s="89"/>
      <c r="U70" s="89"/>
    </row>
    <row r="71" spans="19:21" ht="6.75" customHeight="1">
      <c r="S71" s="89"/>
      <c r="T71" s="89"/>
      <c r="U71" s="89"/>
    </row>
    <row r="72" spans="19:21" ht="6.75" customHeight="1">
      <c r="S72" s="89"/>
      <c r="T72" s="89"/>
      <c r="U72" s="89"/>
    </row>
    <row r="73" spans="19:21" ht="6.75" customHeight="1">
      <c r="S73" s="89"/>
      <c r="T73" s="89"/>
      <c r="U73" s="89"/>
    </row>
    <row r="74" spans="19:21" ht="6.75" customHeight="1">
      <c r="S74" s="89"/>
      <c r="T74" s="89"/>
      <c r="U74" s="89"/>
    </row>
    <row r="75" spans="19:21" ht="6.75" customHeight="1">
      <c r="S75" s="89"/>
      <c r="T75" s="89"/>
      <c r="U75" s="89"/>
    </row>
    <row r="76" spans="19:21" ht="6.75" customHeight="1">
      <c r="S76" s="89"/>
      <c r="T76" s="89"/>
      <c r="U76" s="89"/>
    </row>
    <row r="77" spans="19:21" ht="6.75" customHeight="1">
      <c r="S77" s="89"/>
      <c r="T77" s="89"/>
      <c r="U77" s="89"/>
    </row>
    <row r="78" spans="19:21" ht="6.75" customHeight="1">
      <c r="S78" s="89"/>
      <c r="T78" s="89"/>
      <c r="U78" s="89"/>
    </row>
    <row r="79" spans="19:21" ht="6.75" customHeight="1">
      <c r="S79" s="89"/>
      <c r="T79" s="89"/>
      <c r="U79" s="89"/>
    </row>
    <row r="80" spans="19:21" ht="6.75" customHeight="1">
      <c r="S80" s="89"/>
      <c r="T80" s="89"/>
      <c r="U80" s="89"/>
    </row>
    <row r="81" spans="19:21" ht="6.75" customHeight="1">
      <c r="S81" s="89"/>
      <c r="T81" s="89"/>
      <c r="U81" s="89"/>
    </row>
    <row r="82" spans="19:21" ht="6.75" customHeight="1">
      <c r="S82" s="89"/>
      <c r="T82" s="89"/>
      <c r="U82" s="89"/>
    </row>
    <row r="83" spans="19:21" ht="6.75" customHeight="1">
      <c r="S83" s="89"/>
      <c r="T83" s="89"/>
      <c r="U83" s="89"/>
    </row>
    <row r="84" spans="19:21" ht="6.75" customHeight="1">
      <c r="S84" s="89"/>
      <c r="T84" s="89"/>
      <c r="U84" s="89"/>
    </row>
    <row r="85" spans="19:21" ht="6.75" customHeight="1">
      <c r="S85" s="89"/>
      <c r="T85" s="89"/>
      <c r="U85" s="89"/>
    </row>
    <row r="86" spans="19:21" ht="6.75" customHeight="1">
      <c r="S86" s="89"/>
      <c r="T86" s="89"/>
      <c r="U86" s="89"/>
    </row>
    <row r="87" spans="19:21" ht="6.75" customHeight="1">
      <c r="S87" s="89"/>
      <c r="T87" s="89"/>
      <c r="U87" s="89"/>
    </row>
    <row r="88" spans="19:21" ht="6.75" customHeight="1">
      <c r="S88" s="89"/>
      <c r="T88" s="89"/>
      <c r="U88" s="89"/>
    </row>
    <row r="89" spans="19:21" ht="6.75" customHeight="1">
      <c r="S89" s="89"/>
      <c r="T89" s="89"/>
      <c r="U89" s="89"/>
    </row>
    <row r="90" spans="19:21" ht="6.75" customHeight="1">
      <c r="S90" s="89"/>
      <c r="T90" s="89"/>
      <c r="U90" s="89"/>
    </row>
    <row r="91" spans="19:21" ht="6.75" customHeight="1">
      <c r="S91" s="89"/>
      <c r="T91" s="89"/>
      <c r="U91" s="89"/>
    </row>
    <row r="92" spans="19:21" ht="6.75" customHeight="1">
      <c r="S92" s="89"/>
      <c r="T92" s="89"/>
      <c r="U92" s="89"/>
    </row>
    <row r="93" spans="19:21" ht="6.75" customHeight="1">
      <c r="S93" s="89"/>
      <c r="T93" s="89"/>
      <c r="U93" s="89"/>
    </row>
    <row r="94" spans="19:21" ht="6.75" customHeight="1">
      <c r="S94" s="89"/>
      <c r="T94" s="89"/>
      <c r="U94" s="89"/>
    </row>
    <row r="95" spans="19:21" ht="6.75" customHeight="1">
      <c r="S95" s="89"/>
      <c r="T95" s="89"/>
      <c r="U95" s="89"/>
    </row>
    <row r="96" spans="19:21" ht="6.75" customHeight="1">
      <c r="S96" s="89"/>
      <c r="T96" s="89"/>
      <c r="U96" s="89"/>
    </row>
    <row r="97" spans="4:21" ht="6.75" customHeight="1">
      <c r="S97" s="89"/>
      <c r="T97" s="89"/>
      <c r="U97" s="89"/>
    </row>
    <row r="98" spans="4:21" ht="6.75" customHeight="1">
      <c r="S98" s="89"/>
      <c r="T98" s="89"/>
      <c r="U98" s="89"/>
    </row>
    <row r="99" spans="4:21" ht="6.75" customHeight="1">
      <c r="S99" s="89"/>
      <c r="T99" s="89"/>
      <c r="U99" s="89"/>
    </row>
    <row r="100" spans="4:21" ht="18.75" customHeight="1">
      <c r="S100" s="89"/>
      <c r="U100" s="89"/>
    </row>
    <row r="101" spans="4:21" ht="19.5" customHeight="1">
      <c r="H101" s="90"/>
      <c r="S101" s="89"/>
      <c r="U101" s="89"/>
    </row>
    <row r="102" spans="4:21" ht="28.5" customHeight="1">
      <c r="H102" s="90"/>
      <c r="K102" s="90"/>
      <c r="L102" s="90"/>
      <c r="M102" s="90"/>
      <c r="N102" s="90"/>
      <c r="O102" s="90"/>
      <c r="S102" s="89"/>
      <c r="T102" s="89"/>
      <c r="U102" s="89"/>
    </row>
    <row r="103" spans="4:21" ht="17.25" customHeight="1">
      <c r="H103" s="90"/>
      <c r="K103" s="90"/>
      <c r="L103" s="90"/>
      <c r="M103" s="90"/>
      <c r="N103" s="90"/>
      <c r="O103" s="90"/>
      <c r="S103" s="89"/>
      <c r="T103" s="89"/>
      <c r="U103" s="89"/>
    </row>
    <row r="104" spans="4:21" ht="6.75" customHeight="1" thickBot="1">
      <c r="S104" s="89"/>
      <c r="T104" s="89"/>
      <c r="U104" s="89"/>
    </row>
    <row r="105" spans="4:21" ht="15" customHeight="1" thickBot="1">
      <c r="D105" s="91"/>
      <c r="E105" s="70"/>
      <c r="S105" s="92"/>
      <c r="T105" s="92"/>
      <c r="U105" s="89"/>
    </row>
    <row r="106" spans="4:21" ht="15" customHeight="1">
      <c r="D106" s="93"/>
      <c r="E106" s="70"/>
      <c r="H106" s="90"/>
      <c r="I106" s="170"/>
      <c r="J106" s="90"/>
      <c r="K106" s="90"/>
      <c r="L106" s="90"/>
      <c r="M106" s="90"/>
      <c r="N106" s="90"/>
      <c r="O106" s="90"/>
      <c r="S106" s="92"/>
      <c r="T106" s="92"/>
      <c r="U106" s="89"/>
    </row>
    <row r="107" spans="4:21" ht="15" customHeight="1">
      <c r="D107" s="93"/>
      <c r="E107" s="70"/>
      <c r="I107" s="170"/>
      <c r="J107" s="90"/>
      <c r="S107" s="92"/>
      <c r="T107" s="92"/>
      <c r="U107" s="89"/>
    </row>
    <row r="108" spans="4:21" ht="15" customHeight="1">
      <c r="D108" s="93"/>
      <c r="E108" s="70"/>
      <c r="I108" s="170"/>
      <c r="J108" s="90"/>
      <c r="S108" s="92"/>
      <c r="T108" s="92"/>
      <c r="U108" s="89"/>
    </row>
    <row r="109" spans="4:21" ht="15" customHeight="1">
      <c r="E109" s="70"/>
      <c r="I109" s="171"/>
      <c r="J109" s="94"/>
      <c r="S109" s="92"/>
      <c r="T109" s="92"/>
      <c r="U109" s="89"/>
    </row>
    <row r="110" spans="4:21" ht="15" customHeight="1">
      <c r="E110" s="70"/>
      <c r="H110" s="94"/>
      <c r="I110" s="172"/>
      <c r="J110" s="95"/>
      <c r="S110" s="92"/>
      <c r="T110" s="92"/>
      <c r="U110" s="89"/>
    </row>
    <row r="111" spans="4:21" ht="15" customHeight="1">
      <c r="D111" s="96"/>
      <c r="E111" s="70"/>
      <c r="I111" s="172"/>
      <c r="J111" s="95"/>
      <c r="S111" s="92"/>
      <c r="T111" s="92"/>
      <c r="U111" s="89"/>
    </row>
    <row r="112" spans="4:21" ht="15" customHeight="1">
      <c r="D112" s="96"/>
      <c r="E112" s="70"/>
      <c r="I112" s="170"/>
      <c r="J112" s="90"/>
      <c r="S112" s="92"/>
      <c r="T112" s="92"/>
      <c r="U112" s="89"/>
    </row>
    <row r="113" spans="4:21" ht="15" customHeight="1">
      <c r="D113" s="93"/>
      <c r="E113" s="70"/>
      <c r="I113" s="170"/>
      <c r="J113" s="90"/>
      <c r="S113" s="92"/>
      <c r="T113" s="92"/>
      <c r="U113" s="89"/>
    </row>
    <row r="114" spans="4:21" ht="15" customHeight="1">
      <c r="D114" s="93"/>
      <c r="E114" s="70"/>
      <c r="I114" s="170"/>
      <c r="J114" s="90"/>
      <c r="K114" s="90"/>
      <c r="L114" s="90"/>
      <c r="M114" s="90"/>
      <c r="N114" s="90"/>
      <c r="O114" s="90"/>
      <c r="S114" s="92"/>
      <c r="T114" s="92"/>
      <c r="U114" s="89"/>
    </row>
    <row r="115" spans="4:21" ht="15" customHeight="1">
      <c r="D115" s="93"/>
      <c r="E115" s="70"/>
      <c r="I115" s="170"/>
      <c r="J115" s="90"/>
      <c r="K115" s="90"/>
      <c r="L115" s="90"/>
      <c r="M115" s="90"/>
      <c r="N115" s="90"/>
      <c r="O115" s="90"/>
      <c r="S115" s="92"/>
      <c r="T115" s="92"/>
      <c r="U115" s="89"/>
    </row>
    <row r="116" spans="4:21" ht="15" customHeight="1">
      <c r="D116" s="93"/>
      <c r="E116" s="70"/>
      <c r="I116" s="170"/>
      <c r="J116" s="90"/>
      <c r="K116" s="90"/>
      <c r="L116" s="90"/>
      <c r="M116" s="90"/>
      <c r="N116" s="90"/>
      <c r="O116" s="90"/>
      <c r="S116" s="92"/>
      <c r="T116" s="92"/>
      <c r="U116" s="89"/>
    </row>
    <row r="117" spans="4:21" ht="15" customHeight="1">
      <c r="D117" s="93"/>
      <c r="E117" s="70"/>
      <c r="I117" s="170"/>
      <c r="J117" s="90"/>
      <c r="K117" s="90"/>
      <c r="L117" s="90"/>
      <c r="M117" s="90"/>
      <c r="N117" s="90"/>
      <c r="O117" s="90"/>
      <c r="S117" s="92"/>
      <c r="T117" s="92"/>
      <c r="U117" s="89"/>
    </row>
    <row r="118" spans="4:21" ht="15" customHeight="1">
      <c r="D118" s="93"/>
      <c r="E118" s="70"/>
      <c r="I118" s="170"/>
      <c r="J118" s="90"/>
      <c r="K118" s="90"/>
      <c r="L118" s="90"/>
      <c r="M118" s="90"/>
      <c r="N118" s="90"/>
      <c r="O118" s="90"/>
      <c r="S118" s="92"/>
      <c r="T118" s="92"/>
      <c r="U118" s="89"/>
    </row>
    <row r="119" spans="4:21" ht="15" customHeight="1">
      <c r="D119" s="93"/>
      <c r="E119" s="70"/>
      <c r="I119" s="170"/>
      <c r="J119" s="90"/>
      <c r="K119" s="90"/>
      <c r="L119" s="90"/>
      <c r="M119" s="90"/>
      <c r="N119" s="90"/>
      <c r="O119" s="90"/>
      <c r="S119" s="92"/>
      <c r="T119" s="92"/>
      <c r="U119" s="89"/>
    </row>
    <row r="120" spans="4:21" ht="15" customHeight="1">
      <c r="D120" s="93"/>
      <c r="E120" s="70"/>
      <c r="I120" s="170"/>
      <c r="J120" s="90"/>
      <c r="K120" s="90"/>
      <c r="L120" s="90"/>
      <c r="M120" s="90"/>
      <c r="N120" s="90"/>
      <c r="O120" s="90"/>
      <c r="S120" s="92"/>
      <c r="T120" s="92"/>
      <c r="U120" s="89"/>
    </row>
    <row r="121" spans="4:21" ht="15" customHeight="1">
      <c r="D121" s="93"/>
      <c r="E121" s="70"/>
      <c r="I121" s="170"/>
      <c r="J121" s="90"/>
      <c r="K121" s="94"/>
      <c r="L121" s="94"/>
      <c r="M121" s="94"/>
      <c r="N121" s="94"/>
      <c r="O121" s="94"/>
      <c r="S121" s="92"/>
      <c r="T121" s="92"/>
      <c r="U121" s="89"/>
    </row>
    <row r="122" spans="4:21" ht="15" customHeight="1">
      <c r="D122" s="93"/>
      <c r="E122" s="70"/>
      <c r="I122" s="170"/>
      <c r="J122" s="90"/>
      <c r="K122" s="94"/>
      <c r="L122" s="94"/>
      <c r="M122" s="94"/>
      <c r="N122" s="94"/>
      <c r="O122" s="94"/>
      <c r="S122" s="92"/>
      <c r="T122" s="92"/>
      <c r="U122" s="89"/>
    </row>
    <row r="123" spans="4:21" ht="15" customHeight="1">
      <c r="D123" s="93"/>
      <c r="E123" s="70"/>
      <c r="I123" s="170"/>
      <c r="J123" s="90"/>
      <c r="S123" s="92"/>
      <c r="T123" s="92"/>
      <c r="U123" s="89"/>
    </row>
    <row r="124" spans="4:21" ht="15" customHeight="1">
      <c r="D124" s="93"/>
      <c r="E124" s="70"/>
      <c r="I124" s="170"/>
      <c r="J124" s="90"/>
      <c r="K124" s="94"/>
      <c r="L124" s="94"/>
      <c r="M124" s="94"/>
      <c r="N124" s="94"/>
      <c r="O124" s="94"/>
      <c r="S124" s="92"/>
      <c r="T124" s="92"/>
      <c r="U124" s="89"/>
    </row>
    <row r="125" spans="4:21" ht="15" customHeight="1">
      <c r="D125" s="93"/>
      <c r="E125" s="70"/>
      <c r="I125" s="170"/>
      <c r="J125" s="90"/>
      <c r="K125" s="97"/>
      <c r="S125" s="92"/>
      <c r="T125" s="92"/>
      <c r="U125" s="89"/>
    </row>
    <row r="126" spans="4:21" ht="15" customHeight="1">
      <c r="D126" s="93"/>
      <c r="E126" s="70"/>
      <c r="S126" s="92"/>
      <c r="T126" s="92"/>
      <c r="U126" s="89"/>
    </row>
    <row r="127" spans="4:21" ht="15" customHeight="1">
      <c r="S127" s="89"/>
      <c r="T127" s="92"/>
      <c r="U127" s="89"/>
    </row>
    <row r="128" spans="4:21" ht="15" customHeight="1">
      <c r="E128" s="98"/>
    </row>
    <row r="130" spans="4:15" ht="15" customHeight="1">
      <c r="H130" s="99"/>
    </row>
    <row r="131" spans="4:15" ht="15" customHeight="1">
      <c r="I131" s="170"/>
      <c r="J131" s="90"/>
      <c r="K131" s="90"/>
      <c r="L131" s="90"/>
      <c r="M131" s="90"/>
      <c r="N131" s="90"/>
      <c r="O131" s="90"/>
    </row>
    <row r="133" spans="4:15" ht="15" customHeight="1">
      <c r="G133" s="100"/>
    </row>
    <row r="136" spans="4:15" ht="15" customHeight="1">
      <c r="D136" s="101"/>
    </row>
    <row r="143" spans="4:15" ht="15" customHeight="1">
      <c r="H143" s="78"/>
    </row>
    <row r="144" spans="4:15" ht="15" customHeight="1">
      <c r="H144" s="78"/>
    </row>
    <row r="145" spans="3:8" ht="15" customHeight="1">
      <c r="C145" s="88"/>
    </row>
    <row r="146" spans="3:8" ht="15" customHeight="1">
      <c r="D146" s="102"/>
      <c r="H146" s="90"/>
    </row>
    <row r="147" spans="3:8" ht="15" customHeight="1">
      <c r="D147" s="102"/>
      <c r="H147" s="90"/>
    </row>
    <row r="148" spans="3:8" ht="15" customHeight="1">
      <c r="C148" s="88"/>
      <c r="D148" s="102"/>
    </row>
    <row r="149" spans="3:8" ht="15" customHeight="1">
      <c r="D149" s="102"/>
      <c r="H149" s="90"/>
    </row>
    <row r="150" spans="3:8" ht="15" customHeight="1">
      <c r="D150" s="102"/>
      <c r="H150" s="90"/>
    </row>
    <row r="151" spans="3:8" ht="15" customHeight="1">
      <c r="D151" s="102"/>
    </row>
    <row r="152" spans="3:8" ht="15" customHeight="1">
      <c r="D152" s="102"/>
    </row>
    <row r="153" spans="3:8" ht="15" customHeight="1">
      <c r="D153" s="102"/>
    </row>
    <row r="154" spans="3:8" ht="15" customHeight="1">
      <c r="D154" s="102"/>
    </row>
    <row r="155" spans="3:8" ht="15" customHeight="1">
      <c r="D155" s="102"/>
    </row>
  </sheetData>
  <mergeCells count="12">
    <mergeCell ref="A56:D56"/>
    <mergeCell ref="B13:D13"/>
    <mergeCell ref="B40:D40"/>
    <mergeCell ref="B51:D51"/>
    <mergeCell ref="B54:D54"/>
    <mergeCell ref="J4:P4"/>
    <mergeCell ref="B12:D12"/>
    <mergeCell ref="B6:D6"/>
    <mergeCell ref="A4:D5"/>
    <mergeCell ref="B7:D7"/>
    <mergeCell ref="F4:F5"/>
    <mergeCell ref="E4:E5"/>
  </mergeCells>
  <phoneticPr fontId="43" type="noConversion"/>
  <pageMargins left="0.35433070866141703" right="0.78740157480314998" top="0.98425196850393704" bottom="0.59055118110236204" header="0.511811023622047" footer="0.511811023622047"/>
  <pageSetup scale="73" fitToWidth="2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24"/>
  <sheetViews>
    <sheetView showGridLines="0" topLeftCell="A7" zoomScaleNormal="85" workbookViewId="0">
      <pane xSplit="13" ySplit="2" topLeftCell="N9" activePane="bottomRight" state="frozen"/>
      <selection activeCell="A7" sqref="A7"/>
      <selection pane="topRight" activeCell="N7" sqref="N7"/>
      <selection pane="bottomLeft" activeCell="A9" sqref="A9"/>
      <selection pane="bottomRight" activeCell="B13" sqref="B13:C13"/>
    </sheetView>
  </sheetViews>
  <sheetFormatPr defaultColWidth="8" defaultRowHeight="15"/>
  <cols>
    <col min="1" max="1" width="4.7109375" style="13" customWidth="1"/>
    <col min="2" max="2" width="7" style="14" customWidth="1"/>
    <col min="3" max="3" width="16" style="7" customWidth="1"/>
    <col min="4" max="4" width="9.42578125" style="4" hidden="1" customWidth="1"/>
    <col min="5" max="5" width="12.28515625" style="4" customWidth="1"/>
    <col min="6" max="6" width="12.85546875" style="4" customWidth="1"/>
    <col min="7" max="7" width="11.7109375" style="4" customWidth="1"/>
    <col min="8" max="8" width="0" style="4" hidden="1" customWidth="1"/>
    <col min="9" max="10" width="9.5703125" style="4" hidden="1" customWidth="1"/>
    <col min="11" max="11" width="8.7109375" style="4" hidden="1" customWidth="1"/>
    <col min="12" max="12" width="8" style="4" hidden="1" customWidth="1"/>
    <col min="13" max="13" width="10.85546875" style="4" hidden="1" customWidth="1"/>
    <col min="14" max="14" width="10.5703125" style="4" hidden="1" customWidth="1"/>
    <col min="15" max="15" width="11" style="4" hidden="1" customWidth="1"/>
    <col min="16" max="16" width="11.28515625" style="4" hidden="1" customWidth="1"/>
    <col min="17" max="18" width="11.42578125" style="4" hidden="1" customWidth="1"/>
    <col min="19" max="19" width="11.7109375" style="4" hidden="1" customWidth="1"/>
    <col min="20" max="20" width="10.85546875" style="4" hidden="1" customWidth="1"/>
    <col min="21" max="21" width="11.140625" style="4" hidden="1" customWidth="1"/>
    <col min="22" max="22" width="11.7109375" style="4" hidden="1" customWidth="1"/>
    <col min="23" max="23" width="10.5703125" style="4" hidden="1" customWidth="1"/>
    <col min="24" max="24" width="12" style="4" hidden="1" customWidth="1"/>
    <col min="25" max="25" width="9" style="4" hidden="1" customWidth="1"/>
    <col min="26" max="26" width="10.85546875" style="4" hidden="1" customWidth="1"/>
    <col min="27" max="27" width="12.85546875" style="4" hidden="1" customWidth="1"/>
    <col min="28" max="28" width="12.140625" style="4" hidden="1" customWidth="1"/>
    <col min="29" max="29" width="10.5703125" style="4" hidden="1" customWidth="1"/>
    <col min="30" max="30" width="14.42578125" style="7" hidden="1" customWidth="1"/>
    <col min="31" max="31" width="14.140625" style="7" hidden="1" customWidth="1"/>
    <col min="32" max="32" width="12.140625" style="7" customWidth="1"/>
    <col min="33" max="33" width="11.5703125" style="7" bestFit="1" customWidth="1"/>
    <col min="34" max="34" width="12.5703125" style="7" customWidth="1"/>
    <col min="35" max="16384" width="8" style="7"/>
  </cols>
  <sheetData>
    <row r="1" spans="1:34" ht="18.75">
      <c r="A1" s="1" t="s">
        <v>68</v>
      </c>
      <c r="B1" s="1"/>
      <c r="C1" s="1"/>
      <c r="D1" s="2"/>
      <c r="E1" s="1"/>
      <c r="F1" s="3"/>
      <c r="H1" s="5"/>
      <c r="I1" s="5"/>
      <c r="J1" s="5"/>
      <c r="K1" s="5"/>
      <c r="L1" s="6"/>
      <c r="N1" s="5"/>
      <c r="O1" s="6"/>
      <c r="Q1" s="5"/>
      <c r="R1" s="6"/>
      <c r="T1" s="5"/>
      <c r="U1" s="6"/>
      <c r="W1" s="5"/>
      <c r="X1" s="6"/>
      <c r="Z1" s="5"/>
      <c r="AA1" s="6"/>
    </row>
    <row r="2" spans="1:34" s="8" customFormat="1" ht="16.5" customHeight="1">
      <c r="B2" s="1" t="s">
        <v>0</v>
      </c>
      <c r="D2" s="2"/>
      <c r="F2" s="3"/>
      <c r="G2" s="9"/>
      <c r="H2" s="10"/>
      <c r="I2" s="11"/>
      <c r="J2" s="11"/>
      <c r="K2" s="11"/>
      <c r="L2" s="11"/>
      <c r="M2" s="11"/>
      <c r="S2" s="12"/>
      <c r="V2" s="12"/>
      <c r="Y2" s="12"/>
    </row>
    <row r="3" spans="1:34" ht="3.75" customHeight="1" thickBot="1">
      <c r="B3" s="14" t="s">
        <v>1</v>
      </c>
    </row>
    <row r="4" spans="1:34" s="1" customFormat="1" ht="19.5" thickBot="1">
      <c r="A4" s="1" t="s">
        <v>2</v>
      </c>
      <c r="E4" s="15" t="s">
        <v>3</v>
      </c>
      <c r="F4" s="16">
        <v>2</v>
      </c>
      <c r="H4" s="17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4"/>
      <c r="Z4" s="894"/>
      <c r="AA4" s="894"/>
      <c r="AB4" s="894"/>
      <c r="AC4" s="18"/>
    </row>
    <row r="5" spans="1:34" s="1" customFormat="1" ht="3" customHeight="1">
      <c r="E5" s="19"/>
      <c r="F5" s="20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34" s="24" customFormat="1" ht="31.5" customHeight="1" thickBot="1">
      <c r="A6" s="21"/>
      <c r="B6" s="21"/>
      <c r="C6" s="21"/>
      <c r="D6" s="22"/>
      <c r="E6" s="22"/>
      <c r="F6" s="22"/>
      <c r="G6" s="22"/>
      <c r="H6" s="22"/>
      <c r="I6" s="22"/>
      <c r="J6" s="22"/>
      <c r="K6" s="23"/>
      <c r="L6" s="22"/>
      <c r="M6" s="22"/>
      <c r="N6" s="895" t="s">
        <v>113</v>
      </c>
      <c r="O6" s="895"/>
      <c r="P6" s="895"/>
      <c r="Q6" s="22"/>
      <c r="R6" s="22" t="s">
        <v>114</v>
      </c>
      <c r="S6" s="22"/>
      <c r="T6" s="22"/>
      <c r="U6" s="22" t="s">
        <v>115</v>
      </c>
      <c r="V6" s="22"/>
      <c r="W6" s="22"/>
      <c r="X6" s="22" t="s">
        <v>116</v>
      </c>
      <c r="Y6" s="22"/>
      <c r="Z6" s="22"/>
      <c r="AA6" s="22" t="s">
        <v>117</v>
      </c>
      <c r="AB6" s="22"/>
      <c r="AC6" s="22"/>
      <c r="AD6" s="24" t="s">
        <v>118</v>
      </c>
    </row>
    <row r="7" spans="1:34" s="13" customFormat="1" ht="30.75" customHeight="1">
      <c r="A7" s="896" t="s">
        <v>4</v>
      </c>
      <c r="B7" s="897"/>
      <c r="C7" s="897"/>
      <c r="D7" s="898"/>
      <c r="E7" s="902" t="s">
        <v>5</v>
      </c>
      <c r="F7" s="903"/>
      <c r="G7" s="904"/>
      <c r="H7" s="902" t="s">
        <v>6</v>
      </c>
      <c r="I7" s="903"/>
      <c r="J7" s="904"/>
      <c r="K7" s="902" t="s">
        <v>7</v>
      </c>
      <c r="L7" s="903"/>
      <c r="M7" s="904"/>
      <c r="N7" s="905" t="s">
        <v>119</v>
      </c>
      <c r="O7" s="906"/>
      <c r="P7" s="907"/>
      <c r="Q7" s="908" t="s">
        <v>114</v>
      </c>
      <c r="R7" s="909"/>
      <c r="S7" s="910"/>
      <c r="T7" s="911" t="s">
        <v>115</v>
      </c>
      <c r="U7" s="912"/>
      <c r="V7" s="913"/>
      <c r="W7" s="914" t="s">
        <v>120</v>
      </c>
      <c r="X7" s="915"/>
      <c r="Y7" s="916"/>
      <c r="Z7" s="917" t="s">
        <v>121</v>
      </c>
      <c r="AA7" s="918"/>
      <c r="AB7" s="919"/>
      <c r="AC7" s="889" t="s">
        <v>122</v>
      </c>
      <c r="AD7" s="890"/>
      <c r="AE7" s="891"/>
      <c r="AF7" s="419"/>
      <c r="AG7" s="419" t="s">
        <v>112</v>
      </c>
      <c r="AH7" s="419"/>
    </row>
    <row r="8" spans="1:34" s="29" customFormat="1" ht="50.25" customHeight="1" thickBot="1">
      <c r="A8" s="899"/>
      <c r="B8" s="900"/>
      <c r="C8" s="900"/>
      <c r="D8" s="901"/>
      <c r="E8" s="25" t="s">
        <v>8</v>
      </c>
      <c r="F8" s="26" t="s">
        <v>9</v>
      </c>
      <c r="G8" s="27" t="s">
        <v>10</v>
      </c>
      <c r="H8" s="25" t="s">
        <v>9</v>
      </c>
      <c r="I8" s="27" t="s">
        <v>11</v>
      </c>
      <c r="J8" s="28" t="s">
        <v>12</v>
      </c>
      <c r="K8" s="25" t="s">
        <v>8</v>
      </c>
      <c r="L8" s="26" t="s">
        <v>9</v>
      </c>
      <c r="M8" s="27" t="s">
        <v>10</v>
      </c>
      <c r="N8" s="25" t="s">
        <v>8</v>
      </c>
      <c r="O8" s="26" t="s">
        <v>9</v>
      </c>
      <c r="P8" s="27" t="s">
        <v>10</v>
      </c>
      <c r="Q8" s="25" t="s">
        <v>8</v>
      </c>
      <c r="R8" s="26" t="s">
        <v>9</v>
      </c>
      <c r="S8" s="27" t="s">
        <v>10</v>
      </c>
      <c r="T8" s="25" t="s">
        <v>8</v>
      </c>
      <c r="U8" s="26" t="s">
        <v>9</v>
      </c>
      <c r="V8" s="27" t="s">
        <v>10</v>
      </c>
      <c r="W8" s="25" t="s">
        <v>8</v>
      </c>
      <c r="X8" s="26" t="s">
        <v>9</v>
      </c>
      <c r="Y8" s="27" t="s">
        <v>10</v>
      </c>
      <c r="Z8" s="25" t="s">
        <v>8</v>
      </c>
      <c r="AA8" s="26" t="s">
        <v>9</v>
      </c>
      <c r="AB8" s="27" t="s">
        <v>10</v>
      </c>
      <c r="AC8" s="25" t="s">
        <v>8</v>
      </c>
      <c r="AD8" s="26" t="s">
        <v>9</v>
      </c>
      <c r="AE8" s="27" t="s">
        <v>10</v>
      </c>
      <c r="AF8" s="400" t="s">
        <v>111</v>
      </c>
      <c r="AG8" s="400" t="s">
        <v>9</v>
      </c>
      <c r="AH8" s="400" t="s">
        <v>8</v>
      </c>
    </row>
    <row r="9" spans="1:34" s="34" customFormat="1" ht="29.25" customHeight="1">
      <c r="A9" s="30">
        <v>1</v>
      </c>
      <c r="B9" s="892" t="s">
        <v>13</v>
      </c>
      <c r="C9" s="893"/>
      <c r="D9" s="31" t="e">
        <f>E9/#REF!</f>
        <v>#REF!</v>
      </c>
      <c r="E9" s="32">
        <f>E10</f>
        <v>15000</v>
      </c>
      <c r="F9" s="33">
        <f>F10</f>
        <v>15000</v>
      </c>
      <c r="G9" s="33">
        <f>G10</f>
        <v>0</v>
      </c>
      <c r="H9" s="33">
        <f t="shared" ref="H9:M9" si="0">H10</f>
        <v>0</v>
      </c>
      <c r="I9" s="33">
        <f t="shared" si="0"/>
        <v>0</v>
      </c>
      <c r="J9" s="33">
        <f t="shared" si="0"/>
        <v>0</v>
      </c>
      <c r="K9" s="33">
        <f t="shared" si="0"/>
        <v>0</v>
      </c>
      <c r="L9" s="33">
        <f t="shared" si="0"/>
        <v>0</v>
      </c>
      <c r="M9" s="33">
        <f t="shared" si="0"/>
        <v>0</v>
      </c>
      <c r="N9" s="33">
        <f>'CRONOG DOLAR'!H6+'CRONOG DOLAR'!I6+'CRONOG DOLAR'!J6+'CRONOG DOLAR'!K6</f>
        <v>2645</v>
      </c>
      <c r="O9" s="33">
        <f>N9-P9</f>
        <v>2645</v>
      </c>
      <c r="P9" s="33">
        <v>0</v>
      </c>
      <c r="Q9" s="33">
        <f>'CRONOG DOLAR'!L6+'CRONOG DOLAR'!M6+'CRONOG DOLAR'!N6+'CRONOG DOLAR'!O6</f>
        <v>3588</v>
      </c>
      <c r="R9" s="33">
        <f t="shared" ref="R9:R16" si="1">Q9-S9</f>
        <v>3588</v>
      </c>
      <c r="S9" s="33">
        <v>0</v>
      </c>
      <c r="T9" s="33">
        <f>'CRONOG DOLAR'!P6+'CRONOG DOLAR'!Q6+'CRONOG DOLAR'!R6+'CRONOG DOLAR'!S6</f>
        <v>3320</v>
      </c>
      <c r="U9" s="33">
        <f t="shared" ref="U9:U16" si="2">T9-V9</f>
        <v>3320</v>
      </c>
      <c r="V9" s="33">
        <v>0</v>
      </c>
      <c r="W9" s="33">
        <f>'CRONOG DOLAR'!T6+'CRONOG DOLAR'!U6+'CRONOG DOLAR'!V6+'CRONOG DOLAR'!W6</f>
        <v>2282</v>
      </c>
      <c r="X9" s="33">
        <f t="shared" ref="X9:X16" si="3">W9-Y9</f>
        <v>2282</v>
      </c>
      <c r="Y9" s="33">
        <v>0</v>
      </c>
      <c r="Z9" s="33">
        <f>'CRONOG DOLAR'!X6+'CRONOG DOLAR'!Y6+'CRONOG DOLAR'!Z6+'CRONOG DOLAR'!AA6</f>
        <v>1732</v>
      </c>
      <c r="AA9" s="33">
        <f t="shared" ref="AA9:AA16" si="4">Z9-AB9</f>
        <v>1732</v>
      </c>
      <c r="AB9" s="33">
        <v>0</v>
      </c>
      <c r="AC9" s="33">
        <f>'CRONOG DOLAR'!AB6+'CRONOG DOLAR'!AC6+'CRONOG DOLAR'!AD6+'CRONOG DOLAR'!AE6</f>
        <v>1433</v>
      </c>
      <c r="AD9" s="33">
        <f>AC9-AE9</f>
        <v>1433</v>
      </c>
      <c r="AE9" s="33">
        <v>0</v>
      </c>
      <c r="AF9" s="430">
        <f>P9+S9+V9+Y9+AB9+AE9</f>
        <v>0</v>
      </c>
      <c r="AG9" s="431">
        <f>O9+R9+U9+X9+AA9+AD9</f>
        <v>15000</v>
      </c>
      <c r="AH9" s="430">
        <f>N9+Q9+T9+W9+Z9+AC9</f>
        <v>15000</v>
      </c>
    </row>
    <row r="10" spans="1:34" s="40" customFormat="1" ht="27" customHeight="1">
      <c r="A10" s="35" t="s">
        <v>14</v>
      </c>
      <c r="B10" s="920" t="str">
        <f>[7]Custos!B6</f>
        <v>Gerenciamento e Supervisão</v>
      </c>
      <c r="C10" s="921"/>
      <c r="D10" s="36"/>
      <c r="E10" s="37">
        <f>'Crono Financeiro'!I6</f>
        <v>15000</v>
      </c>
      <c r="F10" s="37">
        <f>E10</f>
        <v>15000</v>
      </c>
      <c r="G10" s="39">
        <v>0</v>
      </c>
      <c r="H10" s="407"/>
      <c r="I10" s="408"/>
      <c r="J10" s="409"/>
      <c r="K10" s="37"/>
      <c r="L10" s="38"/>
      <c r="M10" s="39"/>
      <c r="N10" s="37">
        <f>'CRONOG DOLAR'!H7+'CRONOG DOLAR'!I7+'CRONOG DOLAR'!J7+'CRONOG DOLAR'!K7</f>
        <v>2645</v>
      </c>
      <c r="O10" s="33">
        <f>N10-P10</f>
        <v>2645</v>
      </c>
      <c r="P10" s="39">
        <v>0</v>
      </c>
      <c r="Q10" s="37">
        <f>'CRONOG DOLAR'!L7+'CRONOG DOLAR'!M7+'CRONOG DOLAR'!N7+'CRONOG DOLAR'!O7</f>
        <v>3588</v>
      </c>
      <c r="R10" s="166">
        <f t="shared" si="1"/>
        <v>3588</v>
      </c>
      <c r="S10" s="39">
        <v>0</v>
      </c>
      <c r="T10" s="37">
        <f>'CRONOG DOLAR'!P7+'CRONOG DOLAR'!Q7+'CRONOG DOLAR'!R7+'CRONOG DOLAR'!S7</f>
        <v>3320</v>
      </c>
      <c r="U10" s="37">
        <f t="shared" si="2"/>
        <v>3320</v>
      </c>
      <c r="V10" s="39">
        <v>0</v>
      </c>
      <c r="W10" s="37">
        <f>'CRONOG DOLAR'!T7+'CRONOG DOLAR'!U7+'CRONOG DOLAR'!V7+'CRONOG DOLAR'!W7</f>
        <v>2282</v>
      </c>
      <c r="X10" s="37">
        <f t="shared" si="3"/>
        <v>2282</v>
      </c>
      <c r="Y10" s="39">
        <v>0</v>
      </c>
      <c r="Z10" s="37">
        <f>'CRONOG DOLAR'!X7+'CRONOG DOLAR'!Y7+'CRONOG DOLAR'!Z7+'CRONOG DOLAR'!AA7</f>
        <v>1732</v>
      </c>
      <c r="AA10" s="37">
        <f t="shared" si="4"/>
        <v>1732</v>
      </c>
      <c r="AB10" s="39">
        <v>0</v>
      </c>
      <c r="AC10" s="37">
        <f>'CRONOG DOLAR'!AB7+'CRONOG DOLAR'!AC7+'CRONOG DOLAR'!AD7+'CRONOG DOLAR'!AE7</f>
        <v>1433</v>
      </c>
      <c r="AD10" s="37">
        <f>AC10-AE10</f>
        <v>1433</v>
      </c>
      <c r="AE10" s="39">
        <v>0</v>
      </c>
      <c r="AF10" s="401">
        <f>P10+S10+V10+Y10+AB10+AE10</f>
        <v>0</v>
      </c>
      <c r="AG10" s="403">
        <f>O10+R10+U10+X10+AA10+AD10</f>
        <v>15000</v>
      </c>
      <c r="AH10" s="401">
        <f>N10+Q10+T10+W10+Z10+AC10</f>
        <v>15000</v>
      </c>
    </row>
    <row r="11" spans="1:34" s="44" customFormat="1" ht="21" customHeight="1">
      <c r="A11" s="41" t="s">
        <v>15</v>
      </c>
      <c r="B11" s="922" t="s">
        <v>16</v>
      </c>
      <c r="C11" s="923"/>
      <c r="D11" s="42" t="e">
        <f>E11/#REF!</f>
        <v>#REF!</v>
      </c>
      <c r="E11" s="43">
        <f>E12+E13+E14</f>
        <v>299000</v>
      </c>
      <c r="F11" s="43">
        <f t="shared" ref="F11:M11" si="5">F12+F13+F14</f>
        <v>169000</v>
      </c>
      <c r="G11" s="43">
        <f t="shared" si="5"/>
        <v>130000</v>
      </c>
      <c r="H11" s="43">
        <f t="shared" si="5"/>
        <v>0</v>
      </c>
      <c r="I11" s="43">
        <f t="shared" si="5"/>
        <v>0</v>
      </c>
      <c r="J11" s="43">
        <f t="shared" si="5"/>
        <v>0</v>
      </c>
      <c r="K11" s="43">
        <f t="shared" si="5"/>
        <v>0</v>
      </c>
      <c r="L11" s="43">
        <f t="shared" si="5"/>
        <v>0</v>
      </c>
      <c r="M11" s="43">
        <f t="shared" si="5"/>
        <v>0</v>
      </c>
      <c r="N11" s="43">
        <f>'CRONOG DOLAR'!H12+'CRONOG DOLAR'!I12+'CRONOG DOLAR'!J12+'CRONOG DOLAR'!K12</f>
        <v>65027.9</v>
      </c>
      <c r="O11" s="43">
        <f>SUM(O12:O14)</f>
        <v>9077.9</v>
      </c>
      <c r="P11" s="43">
        <f>SUM(P12:P14)</f>
        <v>55950</v>
      </c>
      <c r="Q11" s="43">
        <f>'CRONOG DOLAR'!L12+'CRONOG DOLAR'!M12+'CRONOG DOLAR'!N12+'CRONOG DOLAR'!O12</f>
        <v>76484.100000000006</v>
      </c>
      <c r="R11" s="33">
        <f t="shared" si="1"/>
        <v>52434.100000000006</v>
      </c>
      <c r="S11" s="43">
        <f>SUM(S12:S14)</f>
        <v>24050</v>
      </c>
      <c r="T11" s="43">
        <f>'CRONOG DOLAR'!P12+'CRONOG DOLAR'!Q12+'CRONOG DOLAR'!R12+'CRONOG DOLAR'!S12</f>
        <v>58812.9</v>
      </c>
      <c r="U11" s="33">
        <f t="shared" si="2"/>
        <v>58812.9</v>
      </c>
      <c r="V11" s="43">
        <v>0</v>
      </c>
      <c r="W11" s="43">
        <f>'CRONOG DOLAR'!T12+'CRONOG DOLAR'!U12+'CRONOG DOLAR'!V12+'CRONOG DOLAR'!W12</f>
        <v>35529.300000000003</v>
      </c>
      <c r="X11" s="33">
        <f t="shared" si="3"/>
        <v>35529.300000000003</v>
      </c>
      <c r="Y11" s="43">
        <v>0</v>
      </c>
      <c r="Z11" s="43">
        <f>'CRONOG DOLAR'!X12+'CRONOG DOLAR'!Y12+'CRONOG DOLAR'!Z12+'CRONOG DOLAR'!AA12</f>
        <v>33601.4</v>
      </c>
      <c r="AA11" s="33">
        <f t="shared" si="4"/>
        <v>9281.4000000000015</v>
      </c>
      <c r="AB11" s="43">
        <f>SUM(AB12:AB14)</f>
        <v>24320</v>
      </c>
      <c r="AC11" s="43">
        <f>'CRONOG DOLAR'!AB12+'CRONOG DOLAR'!AC12+'CRONOG DOLAR'!AD12+'CRONOG DOLAR'!AE12</f>
        <v>29544.400000000001</v>
      </c>
      <c r="AD11" s="43">
        <f>SUM(AD12:AD14)</f>
        <v>3864.4</v>
      </c>
      <c r="AE11" s="43">
        <f>SUM(AE12:AE14)</f>
        <v>25680</v>
      </c>
      <c r="AF11" s="402">
        <f>SUM(AF12:AF14)</f>
        <v>130000</v>
      </c>
      <c r="AG11" s="402">
        <f>SUM(AG12:AG14)</f>
        <v>169000</v>
      </c>
      <c r="AH11" s="402">
        <f>SUM(AH12:AH14)</f>
        <v>299000</v>
      </c>
    </row>
    <row r="12" spans="1:34" s="40" customFormat="1" ht="50.25" customHeight="1">
      <c r="A12" s="35" t="s">
        <v>17</v>
      </c>
      <c r="B12" s="920" t="s">
        <v>69</v>
      </c>
      <c r="C12" s="921"/>
      <c r="D12" s="36" t="e">
        <f>E12/#REF!</f>
        <v>#REF!</v>
      </c>
      <c r="E12" s="37">
        <v>20000</v>
      </c>
      <c r="F12" s="38">
        <f>E12-G12</f>
        <v>18250</v>
      </c>
      <c r="G12" s="37">
        <v>1750</v>
      </c>
      <c r="H12" s="407"/>
      <c r="I12" s="408"/>
      <c r="J12" s="409"/>
      <c r="K12" s="37"/>
      <c r="L12" s="38"/>
      <c r="M12" s="39"/>
      <c r="N12" s="37">
        <f>'CRONOG DOLAR'!H13+'CRONOG DOLAR'!I13+'CRONOG DOLAR'!J13+'CRONOG DOLAR'!K13</f>
        <v>3442.5</v>
      </c>
      <c r="O12" s="38">
        <f>N12-P12</f>
        <v>1692.5</v>
      </c>
      <c r="P12" s="39">
        <v>1750</v>
      </c>
      <c r="Q12" s="38">
        <f>'CRONOG DOLAR'!L13+'CRONOG DOLAR'!M13+'CRONOG DOLAR'!N13+'CRONOG DOLAR'!O13</f>
        <v>9452.5</v>
      </c>
      <c r="R12" s="166">
        <f t="shared" si="1"/>
        <v>9452.5</v>
      </c>
      <c r="S12" s="39">
        <v>0</v>
      </c>
      <c r="T12" s="37">
        <f>'CRONOG DOLAR'!P13+'CRONOG DOLAR'!Q13+'CRONOG DOLAR'!R13+'CRONOG DOLAR'!S13</f>
        <v>6527.5</v>
      </c>
      <c r="U12" s="37">
        <f t="shared" si="2"/>
        <v>6527.5</v>
      </c>
      <c r="V12" s="39">
        <v>0</v>
      </c>
      <c r="W12" s="37">
        <f>'CRONOG DOLAR'!T13+'CRONOG DOLAR'!U13+'CRONOG DOLAR'!V13+'CRONOG DOLAR'!W13</f>
        <v>577.5</v>
      </c>
      <c r="X12" s="37">
        <f t="shared" si="3"/>
        <v>577.5</v>
      </c>
      <c r="Y12" s="39">
        <v>0</v>
      </c>
      <c r="Z12" s="37">
        <f>'CRONOG DOLAR'!X13+'CRONOG DOLAR'!Y13+'CRONOG DOLAR'!Z13+'CRONOG DOLAR'!AA13</f>
        <v>0</v>
      </c>
      <c r="AA12" s="37">
        <f t="shared" si="4"/>
        <v>0</v>
      </c>
      <c r="AB12" s="39">
        <v>0</v>
      </c>
      <c r="AC12" s="37">
        <f>'CRONOG DOLAR'!AB13+'CRONOG DOLAR'!AC13+'CRONOG DOLAR'!AD13+'CRONOG DOLAR'!AE13</f>
        <v>0</v>
      </c>
      <c r="AD12" s="37">
        <f>AC12-AE12</f>
        <v>0</v>
      </c>
      <c r="AE12" s="39">
        <v>0</v>
      </c>
      <c r="AF12" s="401">
        <f>P12+S12+V12+Y12+AB12+AE12</f>
        <v>1750</v>
      </c>
      <c r="AG12" s="403">
        <f>O12+R12+U12+X12+AA12+AD12</f>
        <v>18250</v>
      </c>
      <c r="AH12" s="401">
        <f>N12+Q12+T12+W12+Z12+AC12</f>
        <v>20000</v>
      </c>
    </row>
    <row r="13" spans="1:34" s="40" customFormat="1" ht="15.75">
      <c r="A13" s="35" t="s">
        <v>18</v>
      </c>
      <c r="B13" s="920" t="s">
        <v>70</v>
      </c>
      <c r="C13" s="921"/>
      <c r="D13" s="36" t="e">
        <f>E13/#REF!</f>
        <v>#REF!</v>
      </c>
      <c r="E13" s="37">
        <f>'Crono Financeiro'!I26</f>
        <v>264000</v>
      </c>
      <c r="F13" s="37">
        <f>E13-G13</f>
        <v>135750</v>
      </c>
      <c r="G13" s="39">
        <v>128250</v>
      </c>
      <c r="H13" s="407"/>
      <c r="I13" s="408"/>
      <c r="J13" s="409"/>
      <c r="K13" s="37"/>
      <c r="L13" s="38"/>
      <c r="M13" s="39"/>
      <c r="N13" s="37">
        <f>'CRONOG DOLAR'!H25+'CRONOG DOLAR'!I25+'CRONOG DOLAR'!J25+'CRONOG DOLAR'!K25</f>
        <v>60723</v>
      </c>
      <c r="O13" s="38">
        <f>N13-P13</f>
        <v>6523</v>
      </c>
      <c r="P13" s="398">
        <f>'CRONOG DOLAR'!H58+'CRONOG DOLAR'!I58+'CRONOG DOLAR'!J58+'CRONOG DOLAR'!K58</f>
        <v>54200</v>
      </c>
      <c r="Q13" s="37">
        <f>'CRONOG DOLAR'!L25+'CRONOG DOLAR'!M25+'CRONOG DOLAR'!N25+'CRONOG DOLAR'!O25</f>
        <v>62818</v>
      </c>
      <c r="R13" s="166">
        <f t="shared" si="1"/>
        <v>38768</v>
      </c>
      <c r="S13" s="410">
        <f>'CRONOG DOLAR'!L58+'CRONOG DOLAR'!M58+'CRONOG DOLAR'!N58+'CRONOG DOLAR'!O58</f>
        <v>24050</v>
      </c>
      <c r="T13" s="37">
        <f>'CRONOG DOLAR'!P25+'CRONOG DOLAR'!Q25+'CRONOG DOLAR'!R25+'CRONOG DOLAR'!S25</f>
        <v>48938</v>
      </c>
      <c r="U13" s="37">
        <f t="shared" si="2"/>
        <v>48938</v>
      </c>
      <c r="V13" s="398">
        <v>0</v>
      </c>
      <c r="W13" s="37">
        <f>'CRONOG DOLAR'!T25+'CRONOG DOLAR'!U25+'CRONOG DOLAR'!V25+'CRONOG DOLAR'!W25</f>
        <v>32624.000000000004</v>
      </c>
      <c r="X13" s="37">
        <f t="shared" si="3"/>
        <v>32624.000000000004</v>
      </c>
      <c r="Y13" s="410">
        <v>0</v>
      </c>
      <c r="Z13" s="37">
        <f>'CRONOG DOLAR'!X25+'CRONOG DOLAR'!Y25+'CRONOG DOLAR'!Z25+'CRONOG DOLAR'!AA25</f>
        <v>31477.000000000004</v>
      </c>
      <c r="AA13" s="37">
        <f t="shared" si="4"/>
        <v>7157.0000000000036</v>
      </c>
      <c r="AB13" s="399">
        <f>'CRONOG DOLAR'!X60+'CRONOG DOLAR'!Y60+'CRONOG DOLAR'!Z60+'CRONOG DOLAR'!AA60</f>
        <v>24320</v>
      </c>
      <c r="AC13" s="37">
        <f>'CRONOG DOLAR'!AB25+'CRONOG DOLAR'!AC25+'CRONOG DOLAR'!AD25+'CRONOG DOLAR'!AE25</f>
        <v>27420</v>
      </c>
      <c r="AD13" s="37">
        <f>AC13-AE13</f>
        <v>1740</v>
      </c>
      <c r="AE13" s="399">
        <f>'CRONOG DOLAR'!AB60+'CRONOG DOLAR'!AC60+'CRONOG DOLAR'!AD60+'CRONOG DOLAR'!AE60</f>
        <v>25680</v>
      </c>
      <c r="AF13" s="401">
        <f t="shared" ref="AF13:AF19" si="6">P13+S13+V13+Y13+AB13+AE13</f>
        <v>128250</v>
      </c>
      <c r="AG13" s="403">
        <f t="shared" ref="AG13:AG19" si="7">O13+R13+U13+X13+AA13+AD13</f>
        <v>135750</v>
      </c>
      <c r="AH13" s="401">
        <f t="shared" ref="AH13:AH19" si="8">N13+Q13+T13+W13+Z13+AC13</f>
        <v>264000</v>
      </c>
    </row>
    <row r="14" spans="1:34" s="40" customFormat="1" ht="51.75" customHeight="1">
      <c r="A14" s="35" t="s">
        <v>19</v>
      </c>
      <c r="B14" s="920" t="s">
        <v>71</v>
      </c>
      <c r="C14" s="921"/>
      <c r="D14" s="36"/>
      <c r="E14" s="37">
        <v>15000</v>
      </c>
      <c r="F14" s="37">
        <v>15000</v>
      </c>
      <c r="G14" s="39">
        <v>0</v>
      </c>
      <c r="H14" s="407"/>
      <c r="I14" s="408"/>
      <c r="J14" s="409"/>
      <c r="K14" s="37"/>
      <c r="L14" s="38"/>
      <c r="M14" s="39"/>
      <c r="N14" s="37">
        <f>'CRONOG DOLAR'!H39+'CRONOG DOLAR'!I39+'CRONOG DOLAR'!J39+'CRONOG DOLAR'!K39</f>
        <v>862.4</v>
      </c>
      <c r="O14" s="38">
        <f>N14-P14</f>
        <v>862.4</v>
      </c>
      <c r="P14" s="39">
        <v>0</v>
      </c>
      <c r="Q14" s="37">
        <f>'CRONOG DOLAR'!L39+'CRONOG DOLAR'!M39+'CRONOG DOLAR'!N39+'CRONOG DOLAR'!O39</f>
        <v>4213.6000000000004</v>
      </c>
      <c r="R14" s="166">
        <f t="shared" si="1"/>
        <v>4213.6000000000004</v>
      </c>
      <c r="S14" s="39">
        <v>0</v>
      </c>
      <c r="T14" s="37">
        <f>'CRONOG DOLAR'!P39+'CRONOG DOLAR'!Q39+'CRONOG DOLAR'!R39+'CRONOG DOLAR'!S39</f>
        <v>3347.4</v>
      </c>
      <c r="U14" s="37">
        <f t="shared" si="2"/>
        <v>3347.4</v>
      </c>
      <c r="V14" s="39">
        <v>0</v>
      </c>
      <c r="W14" s="37">
        <f>'CRONOG DOLAR'!T39+'CRONOG DOLAR'!U39+'CRONOG DOLAR'!V39+'CRONOG DOLAR'!W39</f>
        <v>2327.8000000000002</v>
      </c>
      <c r="X14" s="37">
        <f t="shared" si="3"/>
        <v>2327.8000000000002</v>
      </c>
      <c r="Y14" s="39">
        <v>0</v>
      </c>
      <c r="Z14" s="173">
        <f>'CRONOG DOLAR'!X39+'CRONOG DOLAR'!Y39+'CRONOG DOLAR'!Z39+'CRONOG DOLAR'!AA39</f>
        <v>2124.4</v>
      </c>
      <c r="AA14" s="37">
        <f t="shared" si="4"/>
        <v>2124.4</v>
      </c>
      <c r="AB14" s="39">
        <v>0</v>
      </c>
      <c r="AC14" s="37">
        <f>'CRONOG DOLAR'!AB39+'CRONOG DOLAR'!AC39+'CRONOG DOLAR'!AD39+'CRONOG DOLAR'!AE39</f>
        <v>2124.4</v>
      </c>
      <c r="AD14" s="37">
        <f>AC14-AE14</f>
        <v>2124.4</v>
      </c>
      <c r="AE14" s="39">
        <v>0</v>
      </c>
      <c r="AF14" s="401">
        <f t="shared" si="6"/>
        <v>0</v>
      </c>
      <c r="AG14" s="403">
        <f t="shared" si="7"/>
        <v>15000</v>
      </c>
      <c r="AH14" s="401">
        <f t="shared" si="8"/>
        <v>15000</v>
      </c>
    </row>
    <row r="15" spans="1:34" s="45" customFormat="1" ht="24" customHeight="1">
      <c r="A15" s="41" t="s">
        <v>20</v>
      </c>
      <c r="B15" s="922" t="s">
        <v>21</v>
      </c>
      <c r="C15" s="923"/>
      <c r="D15" s="42" t="e">
        <f>E15/#REF!</f>
        <v>#REF!</v>
      </c>
      <c r="E15" s="43">
        <f t="shared" ref="E15:M15" si="9">E16</f>
        <v>1000</v>
      </c>
      <c r="F15" s="43">
        <f t="shared" si="9"/>
        <v>1000</v>
      </c>
      <c r="G15" s="43">
        <f t="shared" si="9"/>
        <v>0</v>
      </c>
      <c r="H15" s="43">
        <f t="shared" si="9"/>
        <v>0</v>
      </c>
      <c r="I15" s="43">
        <f t="shared" si="9"/>
        <v>0</v>
      </c>
      <c r="J15" s="43">
        <f t="shared" si="9"/>
        <v>0</v>
      </c>
      <c r="K15" s="43">
        <f t="shared" si="9"/>
        <v>0</v>
      </c>
      <c r="L15" s="43">
        <f t="shared" si="9"/>
        <v>0</v>
      </c>
      <c r="M15" s="43">
        <f t="shared" si="9"/>
        <v>0</v>
      </c>
      <c r="N15" s="43">
        <f>'CRONOG DOLAR'!H50+'CRONOG DOLAR'!I50+'CRONOG DOLAR'!J50+'CRONOG DOLAR'!K50</f>
        <v>64</v>
      </c>
      <c r="O15" s="428">
        <f>N15-P15</f>
        <v>64</v>
      </c>
      <c r="P15" s="43">
        <v>0</v>
      </c>
      <c r="Q15" s="43">
        <f>'CRONOG DOLAR'!L50+'CRONOG DOLAR'!M50+'CRONOG DOLAR'!N50+'CRONOG DOLAR'!O50</f>
        <v>184</v>
      </c>
      <c r="R15" s="33">
        <f t="shared" si="1"/>
        <v>184</v>
      </c>
      <c r="S15" s="43"/>
      <c r="T15" s="43">
        <f>'CRONOG DOLAR'!P50+'CRONOG DOLAR'!Q50+'CRONOG DOLAR'!R50+'CRONOG DOLAR'!S50</f>
        <v>184</v>
      </c>
      <c r="U15" s="33">
        <f t="shared" si="2"/>
        <v>184</v>
      </c>
      <c r="V15" s="43">
        <v>0</v>
      </c>
      <c r="W15" s="43">
        <f>'CRONOG DOLAR'!T50+'CRONOG DOLAR'!U50+'CRONOG DOLAR'!V50+'CRONOG DOLAR'!W50</f>
        <v>184</v>
      </c>
      <c r="X15" s="33">
        <f t="shared" si="3"/>
        <v>184</v>
      </c>
      <c r="Y15" s="43">
        <v>0</v>
      </c>
      <c r="Z15" s="43">
        <f>'CRONOG DOLAR'!X50+'CRONOG DOLAR'!Y50+'CRONOG DOLAR'!Z50+'CRONOG DOLAR'!AA50</f>
        <v>184</v>
      </c>
      <c r="AA15" s="33">
        <f t="shared" si="4"/>
        <v>184</v>
      </c>
      <c r="AB15" s="43">
        <v>0</v>
      </c>
      <c r="AC15" s="43">
        <f>'CRONOG DOLAR'!AB50+'CRONOG DOLAR'!AC50+'CRONOG DOLAR'!AD50+'CRONOG DOLAR'!AE50</f>
        <v>200</v>
      </c>
      <c r="AD15" s="33">
        <f>AC15-AE15</f>
        <v>200</v>
      </c>
      <c r="AE15" s="43">
        <v>0</v>
      </c>
      <c r="AF15" s="430">
        <f t="shared" si="6"/>
        <v>0</v>
      </c>
      <c r="AG15" s="431">
        <f t="shared" si="7"/>
        <v>1000</v>
      </c>
      <c r="AH15" s="430">
        <f t="shared" si="8"/>
        <v>1000</v>
      </c>
    </row>
    <row r="16" spans="1:34" ht="29.25" customHeight="1">
      <c r="A16" s="35" t="s">
        <v>22</v>
      </c>
      <c r="B16" s="920" t="s">
        <v>23</v>
      </c>
      <c r="C16" s="921"/>
      <c r="D16" s="36" t="e">
        <f>E16/#REF!</f>
        <v>#REF!</v>
      </c>
      <c r="E16" s="37">
        <v>1000</v>
      </c>
      <c r="F16" s="38">
        <v>1000</v>
      </c>
      <c r="G16" s="39">
        <f>E16-F16</f>
        <v>0</v>
      </c>
      <c r="H16" s="407"/>
      <c r="I16" s="408"/>
      <c r="J16" s="409"/>
      <c r="K16" s="37"/>
      <c r="L16" s="38"/>
      <c r="M16" s="39"/>
      <c r="N16" s="37">
        <f>'CRONOG DOLAR'!H50+'CRONOG DOLAR'!I50+'CRONOG DOLAR'!J50+'CRONOG DOLAR'!K50</f>
        <v>64</v>
      </c>
      <c r="O16" s="38">
        <f>N16-P16</f>
        <v>64</v>
      </c>
      <c r="P16" s="397"/>
      <c r="Q16" s="411">
        <f>'CRONOG DOLAR'!L50+'CRONOG DOLAR'!M50+'CRONOG DOLAR'!N50+'CRONOG DOLAR'!O50</f>
        <v>184</v>
      </c>
      <c r="R16" s="166">
        <f t="shared" si="1"/>
        <v>184</v>
      </c>
      <c r="S16" s="397">
        <v>0</v>
      </c>
      <c r="T16" s="411">
        <f>T15</f>
        <v>184</v>
      </c>
      <c r="U16" s="37">
        <f t="shared" si="2"/>
        <v>184</v>
      </c>
      <c r="V16" s="38">
        <v>0</v>
      </c>
      <c r="W16" s="411">
        <f>W15</f>
        <v>184</v>
      </c>
      <c r="X16" s="37">
        <f t="shared" si="3"/>
        <v>184</v>
      </c>
      <c r="Y16" s="38">
        <v>0</v>
      </c>
      <c r="Z16" s="411">
        <f>Z15</f>
        <v>184</v>
      </c>
      <c r="AA16" s="37">
        <f t="shared" si="4"/>
        <v>184</v>
      </c>
      <c r="AB16" s="38">
        <v>0</v>
      </c>
      <c r="AC16" s="411">
        <f>AC15</f>
        <v>200</v>
      </c>
      <c r="AD16" s="37">
        <f>AC16-AE16</f>
        <v>200</v>
      </c>
      <c r="AE16" s="38">
        <v>0</v>
      </c>
      <c r="AF16" s="401">
        <f t="shared" si="6"/>
        <v>0</v>
      </c>
      <c r="AG16" s="403">
        <f t="shared" si="7"/>
        <v>1000</v>
      </c>
      <c r="AH16" s="401">
        <f t="shared" si="8"/>
        <v>1000</v>
      </c>
    </row>
    <row r="17" spans="1:34" ht="18" hidden="1" customHeight="1">
      <c r="A17" s="35"/>
      <c r="B17" s="920"/>
      <c r="C17" s="921"/>
      <c r="D17" s="36"/>
      <c r="E17" s="37"/>
      <c r="F17" s="38"/>
      <c r="G17" s="39"/>
      <c r="H17" s="407"/>
      <c r="I17" s="408"/>
      <c r="J17" s="409"/>
      <c r="K17" s="37"/>
      <c r="L17" s="38"/>
      <c r="M17" s="39"/>
      <c r="N17" s="37"/>
      <c r="O17" s="38"/>
      <c r="P17" s="39"/>
      <c r="Q17" s="37"/>
      <c r="R17" s="38"/>
      <c r="S17" s="39"/>
      <c r="T17" s="37"/>
      <c r="U17" s="38"/>
      <c r="V17" s="39"/>
      <c r="W17" s="37"/>
      <c r="X17" s="38"/>
      <c r="Y17" s="39"/>
      <c r="Z17" s="37"/>
      <c r="AA17" s="38"/>
      <c r="AB17" s="39"/>
      <c r="AC17" s="37"/>
      <c r="AD17" s="38"/>
      <c r="AE17" s="39"/>
      <c r="AF17" s="401">
        <f t="shared" si="6"/>
        <v>0</v>
      </c>
      <c r="AG17" s="403">
        <f t="shared" si="7"/>
        <v>0</v>
      </c>
      <c r="AH17" s="401">
        <f t="shared" si="8"/>
        <v>0</v>
      </c>
    </row>
    <row r="18" spans="1:34" s="45" customFormat="1" ht="31.5" customHeight="1">
      <c r="A18" s="41" t="s">
        <v>24</v>
      </c>
      <c r="B18" s="922" t="s">
        <v>25</v>
      </c>
      <c r="C18" s="923"/>
      <c r="D18" s="42" t="e">
        <f>E18/#REF!</f>
        <v>#REF!</v>
      </c>
      <c r="E18" s="43">
        <f t="shared" ref="E18:M18" si="10">E19</f>
        <v>15000</v>
      </c>
      <c r="F18" s="43">
        <f t="shared" si="10"/>
        <v>15000</v>
      </c>
      <c r="G18" s="43">
        <f t="shared" si="10"/>
        <v>0</v>
      </c>
      <c r="H18" s="43">
        <f t="shared" si="10"/>
        <v>0</v>
      </c>
      <c r="I18" s="43">
        <f t="shared" si="10"/>
        <v>0</v>
      </c>
      <c r="J18" s="43">
        <f t="shared" si="10"/>
        <v>0</v>
      </c>
      <c r="K18" s="43">
        <f t="shared" si="10"/>
        <v>0</v>
      </c>
      <c r="L18" s="43">
        <f t="shared" si="10"/>
        <v>0</v>
      </c>
      <c r="M18" s="43">
        <f t="shared" si="10"/>
        <v>0</v>
      </c>
      <c r="N18" s="43">
        <f>'CRONOG DOLAR'!H53+'CRONOG DOLAR'!I53+'CRONOG DOLAR'!J53+'CRONOG DOLAR'!K53</f>
        <v>1200</v>
      </c>
      <c r="O18" s="428">
        <f>N18-P18</f>
        <v>1200</v>
      </c>
      <c r="P18" s="43">
        <v>0</v>
      </c>
      <c r="Q18" s="43">
        <f>'CRONOG DOLAR'!L53+'CRONOG DOLAR'!M53+'CRONOG DOLAR'!N53+'CRONOG DOLAR'!O53</f>
        <v>2400</v>
      </c>
      <c r="R18" s="33">
        <f>Q18-S18</f>
        <v>2400</v>
      </c>
      <c r="S18" s="43"/>
      <c r="T18" s="43">
        <f>'CRONOG DOLAR'!P53+'CRONOG DOLAR'!Q53+'CRONOG DOLAR'!R53+'CRONOG DOLAR'!S53</f>
        <v>2400</v>
      </c>
      <c r="U18" s="33">
        <f>T18-V18</f>
        <v>2400</v>
      </c>
      <c r="V18" s="43">
        <v>0</v>
      </c>
      <c r="W18" s="43">
        <f>'CRONOG DOLAR'!T53+'CRONOG DOLAR'!U53+'CRONOG DOLAR'!V53+'CRONOG DOLAR'!W53</f>
        <v>3000</v>
      </c>
      <c r="X18" s="33">
        <f>W18-Y18</f>
        <v>3000</v>
      </c>
      <c r="Y18" s="43">
        <v>0</v>
      </c>
      <c r="Z18" s="43">
        <f>'CRONOG DOLAR'!X53+'CRONOG DOLAR'!Y53+'CRONOG DOLAR'!Z53+'CRONOG DOLAR'!AA53</f>
        <v>3000</v>
      </c>
      <c r="AA18" s="33">
        <f>Z18-AB18</f>
        <v>3000</v>
      </c>
      <c r="AB18" s="43">
        <v>0</v>
      </c>
      <c r="AC18" s="43">
        <f>'CRONOG DOLAR'!AB53+'CRONOG DOLAR'!AC53+'CRONOG DOLAR'!AD53+'CRONOG DOLAR'!AE53</f>
        <v>3000</v>
      </c>
      <c r="AD18" s="33">
        <f>AC18-AE18</f>
        <v>3000</v>
      </c>
      <c r="AE18" s="43">
        <v>0</v>
      </c>
      <c r="AF18" s="430">
        <f t="shared" si="6"/>
        <v>0</v>
      </c>
      <c r="AG18" s="431">
        <f t="shared" si="7"/>
        <v>15000</v>
      </c>
      <c r="AH18" s="430">
        <f t="shared" si="8"/>
        <v>15000</v>
      </c>
    </row>
    <row r="19" spans="1:34" ht="34.5" customHeight="1" thickBot="1">
      <c r="A19" s="35" t="s">
        <v>26</v>
      </c>
      <c r="B19" s="920" t="str">
        <f>[7]Custos!D45</f>
        <v>Contingências Físicas e Financeiras</v>
      </c>
      <c r="C19" s="921"/>
      <c r="D19" s="36" t="e">
        <f>E19/#REF!</f>
        <v>#REF!</v>
      </c>
      <c r="E19" s="37">
        <v>15000</v>
      </c>
      <c r="F19" s="38">
        <v>15000</v>
      </c>
      <c r="G19" s="39">
        <f>E19-F19</f>
        <v>0</v>
      </c>
      <c r="H19" s="407"/>
      <c r="I19" s="408"/>
      <c r="J19" s="409"/>
      <c r="K19" s="37"/>
      <c r="L19" s="38"/>
      <c r="M19" s="39"/>
      <c r="N19" s="37">
        <f>'CRONOG DOLAR'!H54+'CRONOG DOLAR'!I54+'CRONOG DOLAR'!J54+'CRONOG DOLAR'!K54</f>
        <v>1200</v>
      </c>
      <c r="O19" s="38">
        <f>N19-P19</f>
        <v>1200</v>
      </c>
      <c r="P19" s="39"/>
      <c r="Q19" s="166">
        <f>'CRONOG DOLAR'!L54+'CRONOG DOLAR'!M54+'CRONOG DOLAR'!N54+'CRONOG DOLAR'!O54</f>
        <v>2400</v>
      </c>
      <c r="R19" s="166">
        <f>Q19-S19</f>
        <v>2400</v>
      </c>
      <c r="S19" s="39">
        <v>0</v>
      </c>
      <c r="T19" s="166">
        <f>T18</f>
        <v>2400</v>
      </c>
      <c r="U19" s="37">
        <f>T19-V19</f>
        <v>2400</v>
      </c>
      <c r="V19" s="39">
        <v>0</v>
      </c>
      <c r="W19" s="242">
        <f>W18</f>
        <v>3000</v>
      </c>
      <c r="X19" s="37">
        <f>W19-Y19</f>
        <v>3000</v>
      </c>
      <c r="Y19" s="39">
        <v>0</v>
      </c>
      <c r="Z19" s="242">
        <f>Z18</f>
        <v>3000</v>
      </c>
      <c r="AA19" s="37">
        <f>Z19-AB19</f>
        <v>3000</v>
      </c>
      <c r="AB19" s="39">
        <v>0</v>
      </c>
      <c r="AC19" s="242">
        <f>AC18</f>
        <v>3000</v>
      </c>
      <c r="AD19" s="37">
        <f>AC19-AE19</f>
        <v>3000</v>
      </c>
      <c r="AE19" s="39">
        <v>0</v>
      </c>
      <c r="AF19" s="401">
        <f t="shared" si="6"/>
        <v>0</v>
      </c>
      <c r="AG19" s="403">
        <f t="shared" si="7"/>
        <v>15000</v>
      </c>
      <c r="AH19" s="401">
        <f t="shared" si="8"/>
        <v>15000</v>
      </c>
    </row>
    <row r="20" spans="1:34" s="51" customFormat="1" ht="15.95" hidden="1" customHeight="1" thickBot="1">
      <c r="A20" s="46"/>
      <c r="B20" s="924"/>
      <c r="C20" s="925"/>
      <c r="D20" s="47"/>
      <c r="E20" s="48"/>
      <c r="F20" s="49"/>
      <c r="G20" s="50"/>
      <c r="H20" s="412"/>
      <c r="I20" s="413"/>
      <c r="J20" s="414"/>
      <c r="K20" s="48"/>
      <c r="L20" s="49"/>
      <c r="M20" s="50"/>
      <c r="N20" s="48"/>
      <c r="O20" s="49"/>
      <c r="P20" s="50"/>
      <c r="Q20" s="48"/>
      <c r="R20" s="49"/>
      <c r="S20" s="50"/>
      <c r="T20" s="48"/>
      <c r="U20" s="49"/>
      <c r="V20" s="50"/>
      <c r="W20" s="48"/>
      <c r="X20" s="49"/>
      <c r="Y20" s="50"/>
      <c r="Z20" s="48"/>
      <c r="AA20" s="49"/>
      <c r="AB20" s="50"/>
      <c r="AC20" s="415"/>
      <c r="AD20" s="416"/>
      <c r="AE20" s="416"/>
      <c r="AF20" s="401">
        <f>P20+S20+V20+Y20+AB20+AE20</f>
        <v>0</v>
      </c>
      <c r="AG20" s="403">
        <f>O20+R20+U20+X20+AA20+AD20</f>
        <v>0</v>
      </c>
      <c r="AH20" s="401">
        <f>N20+Q20+T20+W20+Z20+AC20</f>
        <v>0</v>
      </c>
    </row>
    <row r="21" spans="1:34" s="53" customFormat="1" ht="26.25" customHeight="1" thickBot="1">
      <c r="A21" s="926" t="s">
        <v>28</v>
      </c>
      <c r="B21" s="927"/>
      <c r="C21" s="928"/>
      <c r="D21" s="52">
        <v>1</v>
      </c>
      <c r="E21" s="417">
        <f>E18+E15+E11+E9</f>
        <v>330000</v>
      </c>
      <c r="F21" s="417">
        <f>F18+F15+F11+F9</f>
        <v>200000</v>
      </c>
      <c r="G21" s="417">
        <f>G18+G15+G11+G9</f>
        <v>130000</v>
      </c>
      <c r="H21" s="417" t="e">
        <f>#REF!+H18+H15+H11+H9</f>
        <v>#REF!</v>
      </c>
      <c r="I21" s="417" t="e">
        <f>#REF!+I18+I15+I11+I9</f>
        <v>#REF!</v>
      </c>
      <c r="J21" s="417" t="e">
        <f>#REF!+J18+J15+J11+J9</f>
        <v>#REF!</v>
      </c>
      <c r="K21" s="417" t="e">
        <f>#REF!+K18+K15+K11+K9</f>
        <v>#REF!</v>
      </c>
      <c r="L21" s="417" t="e">
        <f>#REF!+L18+L15+L11+L9</f>
        <v>#REF!</v>
      </c>
      <c r="M21" s="417" t="e">
        <f>#REF!+M18+M15+M11+M9</f>
        <v>#REF!</v>
      </c>
      <c r="N21" s="418">
        <f>N9+N11+N15+N18</f>
        <v>68936.899999999994</v>
      </c>
      <c r="O21" s="418">
        <f t="shared" ref="O21:AH21" si="11">O9+O11+O15+O18</f>
        <v>12986.9</v>
      </c>
      <c r="P21" s="418">
        <f t="shared" si="11"/>
        <v>55950</v>
      </c>
      <c r="Q21" s="429">
        <f t="shared" si="11"/>
        <v>82656.100000000006</v>
      </c>
      <c r="R21" s="429">
        <f t="shared" si="11"/>
        <v>58606.100000000006</v>
      </c>
      <c r="S21" s="429">
        <f t="shared" si="11"/>
        <v>24050</v>
      </c>
      <c r="T21" s="418">
        <f t="shared" si="11"/>
        <v>64716.9</v>
      </c>
      <c r="U21" s="418">
        <f t="shared" si="11"/>
        <v>64716.9</v>
      </c>
      <c r="V21" s="418">
        <f t="shared" si="11"/>
        <v>0</v>
      </c>
      <c r="W21" s="429">
        <f t="shared" si="11"/>
        <v>40995.300000000003</v>
      </c>
      <c r="X21" s="429">
        <f t="shared" si="11"/>
        <v>40995.300000000003</v>
      </c>
      <c r="Y21" s="429">
        <f t="shared" si="11"/>
        <v>0</v>
      </c>
      <c r="Z21" s="418">
        <f t="shared" si="11"/>
        <v>38517.4</v>
      </c>
      <c r="AA21" s="418">
        <f t="shared" si="11"/>
        <v>14197.400000000001</v>
      </c>
      <c r="AB21" s="418">
        <f t="shared" si="11"/>
        <v>24320</v>
      </c>
      <c r="AC21" s="418">
        <f t="shared" si="11"/>
        <v>34177.4</v>
      </c>
      <c r="AD21" s="418">
        <f t="shared" si="11"/>
        <v>8497.4</v>
      </c>
      <c r="AE21" s="418">
        <f t="shared" si="11"/>
        <v>25680</v>
      </c>
      <c r="AF21" s="418">
        <f>AF9+AF11+AF15+AF18</f>
        <v>130000</v>
      </c>
      <c r="AG21" s="418">
        <f t="shared" si="11"/>
        <v>200000</v>
      </c>
      <c r="AH21" s="418">
        <f t="shared" si="11"/>
        <v>330000</v>
      </c>
    </row>
    <row r="22" spans="1:34" ht="18" customHeight="1">
      <c r="A22" s="54"/>
      <c r="B22" s="55"/>
      <c r="L22" s="56"/>
      <c r="O22" s="56"/>
      <c r="R22" s="56"/>
      <c r="U22" s="56"/>
      <c r="X22" s="56"/>
      <c r="AA22" s="56"/>
    </row>
    <row r="23" spans="1:34">
      <c r="F23" s="404"/>
      <c r="G23" s="404"/>
      <c r="H23" s="405">
        <v>3588</v>
      </c>
      <c r="I23" s="405">
        <v>2832</v>
      </c>
      <c r="J23" s="405">
        <v>1952</v>
      </c>
      <c r="K23" s="405">
        <v>1512</v>
      </c>
      <c r="L23" s="405">
        <v>677</v>
      </c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34" ht="15.75"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404"/>
      <c r="Q24" s="404"/>
      <c r="R24" s="404"/>
      <c r="S24" s="404"/>
      <c r="T24" s="404"/>
      <c r="U24" s="406"/>
      <c r="V24" s="22"/>
    </row>
  </sheetData>
  <mergeCells count="26">
    <mergeCell ref="B20:C20"/>
    <mergeCell ref="A21:C21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C7:AE7"/>
    <mergeCell ref="B9:C9"/>
    <mergeCell ref="N4:Y4"/>
    <mergeCell ref="Z4:AB4"/>
    <mergeCell ref="N6:P6"/>
    <mergeCell ref="A7:D8"/>
    <mergeCell ref="E7:G7"/>
    <mergeCell ref="H7:J7"/>
    <mergeCell ref="K7:M7"/>
    <mergeCell ref="N7:P7"/>
    <mergeCell ref="Q7:S7"/>
    <mergeCell ref="T7:V7"/>
    <mergeCell ref="W7:Y7"/>
    <mergeCell ref="Z7:AB7"/>
  </mergeCells>
  <pageMargins left="0.59055118110236227" right="0.59055118110236227" top="0.74803149606299213" bottom="0.39370078740157483" header="0.19685039370078741" footer="0.19685039370078741"/>
  <pageSetup paperSize="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H5"/>
  <sheetViews>
    <sheetView topLeftCell="D1" workbookViewId="0">
      <selection activeCell="AI1" sqref="AI1:AI1048576"/>
    </sheetView>
  </sheetViews>
  <sheetFormatPr defaultRowHeight="12.75"/>
  <cols>
    <col min="1" max="3" width="5.42578125" hidden="1" customWidth="1"/>
    <col min="4" max="4" width="5.28515625" bestFit="1" customWidth="1"/>
    <col min="5" max="7" width="5.42578125" hidden="1" customWidth="1"/>
    <col min="8" max="9" width="6.140625" bestFit="1" customWidth="1"/>
    <col min="10" max="12" width="5.42578125" style="505" hidden="1" customWidth="1"/>
    <col min="13" max="13" width="4.140625" style="506" bestFit="1" customWidth="1"/>
    <col min="14" max="16" width="5.42578125" style="505" hidden="1" customWidth="1"/>
    <col min="17" max="17" width="4.140625" style="506" bestFit="1" customWidth="1"/>
    <col min="18" max="20" width="5.42578125" style="505" hidden="1" customWidth="1"/>
    <col min="21" max="21" width="4.140625" style="506" bestFit="1" customWidth="1"/>
    <col min="22" max="24" width="5.42578125" style="505" hidden="1" customWidth="1"/>
    <col min="25" max="25" width="4.140625" style="506" bestFit="1" customWidth="1"/>
    <col min="26" max="28" width="5.42578125" style="505" hidden="1" customWidth="1"/>
    <col min="29" max="29" width="4.140625" style="506" bestFit="1" customWidth="1"/>
    <col min="30" max="32" width="5.42578125" style="505" hidden="1" customWidth="1"/>
    <col min="33" max="33" width="4.140625" style="506" bestFit="1" customWidth="1"/>
    <col min="34" max="34" width="6.42578125" customWidth="1"/>
  </cols>
  <sheetData>
    <row r="4" spans="1:34" s="512" customFormat="1" ht="15">
      <c r="D4" s="512" t="s">
        <v>141</v>
      </c>
      <c r="H4" s="512">
        <v>2</v>
      </c>
      <c r="M4" s="513" t="s">
        <v>180</v>
      </c>
      <c r="N4" s="514"/>
      <c r="O4" s="514"/>
      <c r="P4" s="514"/>
      <c r="Q4" s="513" t="s">
        <v>181</v>
      </c>
      <c r="R4" s="514"/>
      <c r="S4" s="514"/>
      <c r="T4" s="514"/>
      <c r="U4" s="513" t="s">
        <v>182</v>
      </c>
      <c r="V4" s="514"/>
      <c r="W4" s="514"/>
      <c r="X4" s="514"/>
      <c r="Y4" s="513" t="s">
        <v>183</v>
      </c>
      <c r="Z4" s="514"/>
      <c r="AA4" s="514"/>
      <c r="AB4" s="514"/>
      <c r="AC4" s="513" t="s">
        <v>184</v>
      </c>
      <c r="AD4" s="514"/>
      <c r="AE4" s="514"/>
      <c r="AF4" s="514"/>
      <c r="AG4" s="513" t="s">
        <v>185</v>
      </c>
    </row>
    <row r="5" spans="1:34" s="507" customFormat="1" ht="12" thickBot="1">
      <c r="A5" s="504">
        <v>2.043351098672188E-2</v>
      </c>
      <c r="B5" s="504">
        <v>2.043351098672188E-2</v>
      </c>
      <c r="C5" s="504">
        <v>4.5034870626697442E-2</v>
      </c>
      <c r="D5" s="509">
        <f>SUM(A5:C5)</f>
        <v>8.5901892600141194E-2</v>
      </c>
      <c r="E5" s="504">
        <v>4.5034870626697442E-2</v>
      </c>
      <c r="F5" s="504">
        <v>4.7635247091251297E-2</v>
      </c>
      <c r="G5" s="504">
        <v>4.3823204558456105E-2</v>
      </c>
      <c r="H5" s="509">
        <f>SUM(E5:G5)</f>
        <v>0.13649332227640484</v>
      </c>
      <c r="I5" s="510">
        <f>SUM(H5,D5)</f>
        <v>0.22239521487654604</v>
      </c>
      <c r="J5" s="504">
        <v>4.3823204558456105E-2</v>
      </c>
      <c r="K5" s="504">
        <v>4.3823204558456105E-2</v>
      </c>
      <c r="L5" s="504">
        <v>4.3823204558456105E-2</v>
      </c>
      <c r="M5" s="508">
        <f>SUM(J5:L5)</f>
        <v>0.1314696136753683</v>
      </c>
      <c r="N5" s="504">
        <v>4.3823204558456105E-2</v>
      </c>
      <c r="O5" s="504">
        <v>4.3823204558456105E-2</v>
      </c>
      <c r="P5" s="504">
        <v>4.3823204558456105E-2</v>
      </c>
      <c r="Q5" s="508">
        <f>SUM(N5:P5)</f>
        <v>0.1314696136753683</v>
      </c>
      <c r="R5" s="504">
        <v>4.3864497843620447E-2</v>
      </c>
      <c r="S5" s="504">
        <v>4.3864497843620447E-2</v>
      </c>
      <c r="T5" s="504">
        <v>4.3864497843620447E-2</v>
      </c>
      <c r="U5" s="508">
        <f>SUM(R5:T5)</f>
        <v>0.13159349353086133</v>
      </c>
      <c r="V5" s="504">
        <v>4.3864497843620447E-2</v>
      </c>
      <c r="W5" s="504">
        <v>4.3864497843620447E-2</v>
      </c>
      <c r="X5" s="504">
        <v>4.3864497843620447E-2</v>
      </c>
      <c r="Y5" s="508">
        <f>SUM(V5:X5)</f>
        <v>0.13159349353086133</v>
      </c>
      <c r="Z5" s="504">
        <v>4.3864497843620447E-2</v>
      </c>
      <c r="AA5" s="504">
        <v>4.3864497843620447E-2</v>
      </c>
      <c r="AB5" s="504">
        <v>4.3864497843620447E-2</v>
      </c>
      <c r="AC5" s="508">
        <f>SUM(Z5:AB5)</f>
        <v>0.13159349353086133</v>
      </c>
      <c r="AD5" s="504">
        <v>4.3864497843620447E-2</v>
      </c>
      <c r="AE5" s="504">
        <v>3.8010289668256411E-2</v>
      </c>
      <c r="AF5" s="504">
        <v>3.8010289668256411E-2</v>
      </c>
      <c r="AG5" s="508">
        <f>SUM(AD5:AF5)</f>
        <v>0.11988507718013326</v>
      </c>
      <c r="AH5" s="511">
        <f>SUM(AG5,AC5,Y5,U5,Q5,M5,I5)</f>
        <v>1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3"/>
  <sheetViews>
    <sheetView topLeftCell="B1" zoomScale="85" zoomScaleNormal="85" workbookViewId="0">
      <selection activeCell="C18" sqref="C18"/>
    </sheetView>
  </sheetViews>
  <sheetFormatPr defaultRowHeight="15"/>
  <cols>
    <col min="1" max="1" width="6.140625" style="550" hidden="1" customWidth="1"/>
    <col min="2" max="2" width="9.140625" style="579" customWidth="1"/>
    <col min="3" max="3" width="110.5703125" style="588" customWidth="1"/>
    <col min="4" max="4" width="17" style="582" customWidth="1"/>
    <col min="5" max="5" width="18.28515625" style="524" customWidth="1"/>
    <col min="6" max="6" width="15.5703125" style="756" customWidth="1"/>
    <col min="7" max="7" width="11.5703125" style="756" customWidth="1"/>
    <col min="8" max="8" width="10.5703125" style="756" customWidth="1"/>
    <col min="9" max="9" width="10.42578125" style="756" customWidth="1"/>
    <col min="10" max="10" width="19.140625" style="550" customWidth="1"/>
    <col min="11" max="11" width="18.140625" style="550" customWidth="1"/>
    <col min="12" max="12" width="8.7109375" style="756" customWidth="1"/>
    <col min="13" max="13" width="32.42578125" style="573" customWidth="1"/>
    <col min="14" max="16384" width="9.140625" style="550"/>
  </cols>
  <sheetData>
    <row r="1" spans="1:13">
      <c r="B1" s="845" t="s">
        <v>312</v>
      </c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</row>
    <row r="2" spans="1:13">
      <c r="B2" s="845" t="s">
        <v>314</v>
      </c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</row>
    <row r="3" spans="1:13">
      <c r="B3" s="845" t="s">
        <v>315</v>
      </c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</row>
    <row r="4" spans="1:13">
      <c r="B4" s="845" t="s">
        <v>313</v>
      </c>
      <c r="C4" s="846"/>
      <c r="D4" s="846"/>
      <c r="E4" s="846"/>
      <c r="F4" s="846"/>
      <c r="G4" s="846"/>
      <c r="H4" s="846"/>
      <c r="I4" s="846"/>
      <c r="J4" s="846"/>
      <c r="K4" s="846"/>
      <c r="L4" s="846"/>
      <c r="M4" s="846"/>
    </row>
    <row r="5" spans="1:13" ht="16.5" customHeight="1">
      <c r="B5" s="574"/>
      <c r="C5" s="587" t="s">
        <v>394</v>
      </c>
      <c r="D5" s="581"/>
      <c r="E5" s="564"/>
      <c r="J5" s="756"/>
      <c r="K5" s="756"/>
    </row>
    <row r="6" spans="1:13" ht="16.5" customHeight="1">
      <c r="B6" s="574"/>
      <c r="C6" s="587" t="s">
        <v>256</v>
      </c>
      <c r="D6" s="581"/>
      <c r="E6" s="565"/>
      <c r="J6" s="756"/>
      <c r="K6" s="756"/>
    </row>
    <row r="7" spans="1:13" ht="16.5" customHeight="1">
      <c r="B7" s="574"/>
      <c r="C7" s="587" t="s">
        <v>257</v>
      </c>
      <c r="D7" s="581"/>
      <c r="E7" s="602"/>
      <c r="J7" s="756"/>
      <c r="K7" s="756"/>
    </row>
    <row r="8" spans="1:13" ht="21" customHeight="1">
      <c r="B8" s="848" t="s">
        <v>191</v>
      </c>
      <c r="C8" s="837" t="s">
        <v>192</v>
      </c>
      <c r="D8" s="837" t="s">
        <v>276</v>
      </c>
      <c r="E8" s="849" t="s">
        <v>381</v>
      </c>
      <c r="F8" s="837" t="s">
        <v>258</v>
      </c>
      <c r="G8" s="837" t="s">
        <v>259</v>
      </c>
      <c r="H8" s="758" t="s">
        <v>193</v>
      </c>
      <c r="I8" s="758"/>
      <c r="J8" s="758" t="s">
        <v>194</v>
      </c>
      <c r="K8" s="758"/>
      <c r="L8" s="847" t="s">
        <v>262</v>
      </c>
      <c r="M8" s="837" t="s">
        <v>263</v>
      </c>
    </row>
    <row r="9" spans="1:13" ht="21" customHeight="1">
      <c r="B9" s="848"/>
      <c r="C9" s="837"/>
      <c r="D9" s="837"/>
      <c r="E9" s="849"/>
      <c r="F9" s="837"/>
      <c r="G9" s="837"/>
      <c r="H9" s="837" t="s">
        <v>329</v>
      </c>
      <c r="I9" s="837" t="s">
        <v>330</v>
      </c>
      <c r="J9" s="837" t="s">
        <v>260</v>
      </c>
      <c r="K9" s="837" t="s">
        <v>261</v>
      </c>
      <c r="L9" s="847"/>
      <c r="M9" s="837"/>
    </row>
    <row r="10" spans="1:13" ht="27.75" customHeight="1">
      <c r="B10" s="848"/>
      <c r="C10" s="837"/>
      <c r="D10" s="837"/>
      <c r="E10" s="849"/>
      <c r="F10" s="837"/>
      <c r="G10" s="837"/>
      <c r="H10" s="837"/>
      <c r="I10" s="837"/>
      <c r="J10" s="837"/>
      <c r="K10" s="837"/>
      <c r="L10" s="847"/>
      <c r="M10" s="837"/>
    </row>
    <row r="11" spans="1:13" ht="7.5" customHeight="1">
      <c r="A11" s="598">
        <v>1</v>
      </c>
      <c r="B11" s="586"/>
      <c r="C11" s="591"/>
      <c r="D11" s="592"/>
      <c r="E11" s="599"/>
      <c r="F11" s="592"/>
      <c r="G11" s="592"/>
      <c r="H11" s="757"/>
      <c r="I11" s="757"/>
      <c r="J11" s="593"/>
      <c r="K11" s="593"/>
      <c r="L11" s="734"/>
      <c r="M11" s="594"/>
    </row>
    <row r="12" spans="1:13" s="432" customFormat="1" ht="24" customHeight="1">
      <c r="A12" s="433">
        <v>2</v>
      </c>
      <c r="B12" s="748" t="s">
        <v>252</v>
      </c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6"/>
    </row>
    <row r="13" spans="1:13" s="637" customFormat="1" ht="21" customHeight="1">
      <c r="A13" s="634"/>
      <c r="B13" s="609" t="s">
        <v>195</v>
      </c>
      <c r="C13" s="610" t="s">
        <v>361</v>
      </c>
      <c r="D13" s="609" t="s">
        <v>339</v>
      </c>
      <c r="E13" s="617">
        <v>174</v>
      </c>
      <c r="F13" s="608" t="s">
        <v>153</v>
      </c>
      <c r="G13" s="608" t="s">
        <v>237</v>
      </c>
      <c r="H13" s="635">
        <v>1</v>
      </c>
      <c r="I13" s="635">
        <v>0</v>
      </c>
      <c r="J13" s="636">
        <v>41609</v>
      </c>
      <c r="K13" s="636">
        <v>42339</v>
      </c>
      <c r="L13" s="608" t="s">
        <v>199</v>
      </c>
      <c r="M13" s="607"/>
    </row>
    <row r="14" spans="1:13" s="637" customFormat="1" ht="21" customHeight="1">
      <c r="A14" s="634"/>
      <c r="B14" s="609" t="s">
        <v>196</v>
      </c>
      <c r="C14" s="610" t="s">
        <v>356</v>
      </c>
      <c r="D14" s="609" t="s">
        <v>340</v>
      </c>
      <c r="E14" s="617">
        <v>152</v>
      </c>
      <c r="F14" s="608" t="s">
        <v>153</v>
      </c>
      <c r="G14" s="608" t="s">
        <v>237</v>
      </c>
      <c r="H14" s="635">
        <v>1</v>
      </c>
      <c r="I14" s="635">
        <v>0</v>
      </c>
      <c r="J14" s="636">
        <v>41699</v>
      </c>
      <c r="K14" s="636">
        <v>42491</v>
      </c>
      <c r="L14" s="608" t="s">
        <v>199</v>
      </c>
      <c r="M14" s="607"/>
    </row>
    <row r="15" spans="1:13" s="637" customFormat="1" ht="21" customHeight="1">
      <c r="A15" s="634"/>
      <c r="B15" s="609" t="s">
        <v>197</v>
      </c>
      <c r="C15" s="610" t="s">
        <v>357</v>
      </c>
      <c r="D15" s="609" t="s">
        <v>341</v>
      </c>
      <c r="E15" s="617">
        <v>152</v>
      </c>
      <c r="F15" s="608" t="s">
        <v>153</v>
      </c>
      <c r="G15" s="608" t="s">
        <v>237</v>
      </c>
      <c r="H15" s="635">
        <v>1</v>
      </c>
      <c r="I15" s="635">
        <v>0</v>
      </c>
      <c r="J15" s="636">
        <v>41579</v>
      </c>
      <c r="K15" s="636">
        <v>42339</v>
      </c>
      <c r="L15" s="608" t="s">
        <v>199</v>
      </c>
      <c r="M15" s="607"/>
    </row>
    <row r="16" spans="1:13" s="637" customFormat="1" ht="21" customHeight="1">
      <c r="A16" s="634"/>
      <c r="B16" s="609" t="s">
        <v>198</v>
      </c>
      <c r="C16" s="610" t="s">
        <v>358</v>
      </c>
      <c r="D16" s="609" t="s">
        <v>342</v>
      </c>
      <c r="E16" s="617">
        <v>104</v>
      </c>
      <c r="F16" s="608" t="s">
        <v>153</v>
      </c>
      <c r="G16" s="608" t="s">
        <v>237</v>
      </c>
      <c r="H16" s="635">
        <v>1</v>
      </c>
      <c r="I16" s="635">
        <v>0</v>
      </c>
      <c r="J16" s="636">
        <v>41699</v>
      </c>
      <c r="K16" s="636">
        <v>42491</v>
      </c>
      <c r="L16" s="608" t="s">
        <v>199</v>
      </c>
      <c r="M16" s="607"/>
    </row>
    <row r="17" spans="1:13" s="637" customFormat="1" ht="21" customHeight="1">
      <c r="A17" s="634"/>
      <c r="B17" s="609" t="s">
        <v>338</v>
      </c>
      <c r="C17" s="610" t="s">
        <v>359</v>
      </c>
      <c r="D17" s="609" t="s">
        <v>343</v>
      </c>
      <c r="E17" s="617">
        <v>88</v>
      </c>
      <c r="F17" s="608" t="s">
        <v>153</v>
      </c>
      <c r="G17" s="608" t="s">
        <v>237</v>
      </c>
      <c r="H17" s="635">
        <v>1</v>
      </c>
      <c r="I17" s="635">
        <v>0</v>
      </c>
      <c r="J17" s="636">
        <v>41699</v>
      </c>
      <c r="K17" s="636">
        <v>42491</v>
      </c>
      <c r="L17" s="608" t="s">
        <v>199</v>
      </c>
      <c r="M17" s="607"/>
    </row>
    <row r="18" spans="1:13" s="637" customFormat="1" ht="21" customHeight="1">
      <c r="A18" s="634"/>
      <c r="B18" s="609" t="s">
        <v>245</v>
      </c>
      <c r="C18" s="610" t="s">
        <v>360</v>
      </c>
      <c r="D18" s="609" t="s">
        <v>344</v>
      </c>
      <c r="E18" s="617">
        <v>132</v>
      </c>
      <c r="F18" s="608" t="s">
        <v>153</v>
      </c>
      <c r="G18" s="608" t="s">
        <v>237</v>
      </c>
      <c r="H18" s="635">
        <v>1</v>
      </c>
      <c r="I18" s="635">
        <v>0</v>
      </c>
      <c r="J18" s="636">
        <v>41699</v>
      </c>
      <c r="K18" s="636">
        <v>42491</v>
      </c>
      <c r="L18" s="608" t="s">
        <v>199</v>
      </c>
      <c r="M18" s="607"/>
    </row>
    <row r="19" spans="1:13" s="637" customFormat="1" ht="21" customHeight="1">
      <c r="A19" s="634"/>
      <c r="B19" s="609" t="s">
        <v>255</v>
      </c>
      <c r="C19" s="610" t="s">
        <v>393</v>
      </c>
      <c r="D19" s="609" t="s">
        <v>345</v>
      </c>
      <c r="E19" s="617">
        <v>32</v>
      </c>
      <c r="F19" s="608" t="s">
        <v>153</v>
      </c>
      <c r="G19" s="608" t="s">
        <v>237</v>
      </c>
      <c r="H19" s="635">
        <v>1</v>
      </c>
      <c r="I19" s="635">
        <v>0</v>
      </c>
      <c r="J19" s="636">
        <v>41609</v>
      </c>
      <c r="K19" s="636">
        <v>42064</v>
      </c>
      <c r="L19" s="608" t="s">
        <v>199</v>
      </c>
      <c r="M19" s="607"/>
    </row>
    <row r="20" spans="1:13" s="644" customFormat="1" ht="21" customHeight="1">
      <c r="A20" s="638">
        <v>3</v>
      </c>
      <c r="B20" s="609" t="s">
        <v>285</v>
      </c>
      <c r="C20" s="639" t="s">
        <v>363</v>
      </c>
      <c r="D20" s="640" t="s">
        <v>195</v>
      </c>
      <c r="E20" s="601">
        <v>11000</v>
      </c>
      <c r="F20" s="641" t="s">
        <v>105</v>
      </c>
      <c r="G20" s="651" t="s">
        <v>236</v>
      </c>
      <c r="H20" s="642">
        <v>1</v>
      </c>
      <c r="I20" s="642">
        <v>0</v>
      </c>
      <c r="J20" s="636">
        <v>41518</v>
      </c>
      <c r="K20" s="636">
        <v>43313</v>
      </c>
      <c r="L20" s="608" t="s">
        <v>264</v>
      </c>
      <c r="M20" s="643"/>
    </row>
    <row r="21" spans="1:13" s="644" customFormat="1" ht="21" customHeight="1">
      <c r="A21" s="645">
        <v>0</v>
      </c>
      <c r="B21" s="609" t="s">
        <v>286</v>
      </c>
      <c r="C21" s="639" t="s">
        <v>362</v>
      </c>
      <c r="D21" s="640" t="s">
        <v>197</v>
      </c>
      <c r="E21" s="601">
        <v>3950</v>
      </c>
      <c r="F21" s="641" t="s">
        <v>105</v>
      </c>
      <c r="G21" s="641" t="s">
        <v>236</v>
      </c>
      <c r="H21" s="642">
        <v>1</v>
      </c>
      <c r="I21" s="642">
        <v>0</v>
      </c>
      <c r="J21" s="636">
        <v>41640</v>
      </c>
      <c r="K21" s="636">
        <v>43678</v>
      </c>
      <c r="L21" s="608" t="s">
        <v>199</v>
      </c>
      <c r="M21" s="643"/>
    </row>
    <row r="22" spans="1:13" s="644" customFormat="1" ht="21" customHeight="1">
      <c r="A22" s="638">
        <v>5</v>
      </c>
      <c r="B22" s="712" t="s">
        <v>287</v>
      </c>
      <c r="C22" s="646" t="s">
        <v>244</v>
      </c>
      <c r="D22" s="647" t="s">
        <v>200</v>
      </c>
      <c r="E22" s="601">
        <f>1243*2/2.2</f>
        <v>1130</v>
      </c>
      <c r="F22" s="608" t="s">
        <v>106</v>
      </c>
      <c r="G22" s="608" t="s">
        <v>237</v>
      </c>
      <c r="H22" s="642">
        <v>0</v>
      </c>
      <c r="I22" s="642">
        <v>1</v>
      </c>
      <c r="J22" s="636">
        <v>41183</v>
      </c>
      <c r="K22" s="636">
        <v>41821</v>
      </c>
      <c r="L22" s="608" t="s">
        <v>254</v>
      </c>
      <c r="M22" s="643"/>
    </row>
    <row r="23" spans="1:13" s="721" customFormat="1" ht="18.75" customHeight="1">
      <c r="A23" s="713"/>
      <c r="B23" s="753" t="s">
        <v>288</v>
      </c>
      <c r="C23" s="714" t="s">
        <v>382</v>
      </c>
      <c r="D23" s="715" t="s">
        <v>202</v>
      </c>
      <c r="E23" s="716">
        <v>4500</v>
      </c>
      <c r="F23" s="717" t="s">
        <v>105</v>
      </c>
      <c r="G23" s="717" t="s">
        <v>236</v>
      </c>
      <c r="H23" s="718">
        <v>1</v>
      </c>
      <c r="I23" s="718">
        <v>0</v>
      </c>
      <c r="J23" s="719">
        <v>41609</v>
      </c>
      <c r="K23" s="719">
        <v>42370</v>
      </c>
      <c r="L23" s="717" t="s">
        <v>383</v>
      </c>
      <c r="M23" s="720"/>
    </row>
    <row r="24" spans="1:13" s="650" customFormat="1" ht="39" customHeight="1">
      <c r="A24" s="645">
        <v>6</v>
      </c>
      <c r="B24" s="712" t="s">
        <v>289</v>
      </c>
      <c r="C24" s="648" t="s">
        <v>376</v>
      </c>
      <c r="D24" s="649" t="s">
        <v>277</v>
      </c>
      <c r="E24" s="601">
        <v>70</v>
      </c>
      <c r="F24" s="608" t="s">
        <v>153</v>
      </c>
      <c r="G24" s="608" t="s">
        <v>237</v>
      </c>
      <c r="H24" s="642">
        <v>1</v>
      </c>
      <c r="I24" s="642">
        <v>0</v>
      </c>
      <c r="J24" s="636">
        <v>41913</v>
      </c>
      <c r="K24" s="636">
        <v>42186</v>
      </c>
      <c r="L24" s="608" t="s">
        <v>199</v>
      </c>
      <c r="M24" s="643"/>
    </row>
    <row r="25" spans="1:13" s="644" customFormat="1" ht="20.25" customHeight="1">
      <c r="A25" s="638">
        <v>7</v>
      </c>
      <c r="B25" s="712" t="s">
        <v>316</v>
      </c>
      <c r="C25" s="648" t="s">
        <v>377</v>
      </c>
      <c r="D25" s="649" t="s">
        <v>207</v>
      </c>
      <c r="E25" s="521">
        <v>450</v>
      </c>
      <c r="F25" s="641" t="s">
        <v>105</v>
      </c>
      <c r="G25" s="617" t="s">
        <v>237</v>
      </c>
      <c r="H25" s="642">
        <v>1</v>
      </c>
      <c r="I25" s="642">
        <v>0</v>
      </c>
      <c r="J25" s="636">
        <v>41760</v>
      </c>
      <c r="K25" s="636">
        <v>42278</v>
      </c>
      <c r="L25" s="608" t="s">
        <v>199</v>
      </c>
      <c r="M25" s="643"/>
    </row>
    <row r="26" spans="1:13" s="721" customFormat="1" ht="18.75" customHeight="1">
      <c r="A26" s="713"/>
      <c r="B26" s="753" t="s">
        <v>290</v>
      </c>
      <c r="C26" s="725" t="s">
        <v>384</v>
      </c>
      <c r="D26" s="726" t="s">
        <v>208</v>
      </c>
      <c r="E26" s="716">
        <v>200</v>
      </c>
      <c r="F26" s="717" t="s">
        <v>162</v>
      </c>
      <c r="G26" s="727" t="s">
        <v>236</v>
      </c>
      <c r="H26" s="718">
        <v>1</v>
      </c>
      <c r="I26" s="718">
        <v>0</v>
      </c>
      <c r="J26" s="719">
        <v>41395</v>
      </c>
      <c r="K26" s="719">
        <v>41760</v>
      </c>
      <c r="L26" s="717" t="s">
        <v>383</v>
      </c>
      <c r="M26" s="720"/>
    </row>
    <row r="27" spans="1:13" s="724" customFormat="1" ht="21" customHeight="1">
      <c r="A27" s="722">
        <v>8</v>
      </c>
      <c r="B27" s="749" t="s">
        <v>291</v>
      </c>
      <c r="C27" s="687" t="s">
        <v>273</v>
      </c>
      <c r="D27" s="688" t="s">
        <v>209</v>
      </c>
      <c r="E27" s="616">
        <v>1750</v>
      </c>
      <c r="F27" s="683" t="s">
        <v>105</v>
      </c>
      <c r="G27" s="685" t="s">
        <v>236</v>
      </c>
      <c r="H27" s="684">
        <v>1</v>
      </c>
      <c r="I27" s="684">
        <v>0</v>
      </c>
      <c r="J27" s="693">
        <v>41883</v>
      </c>
      <c r="K27" s="693">
        <v>42795</v>
      </c>
      <c r="L27" s="683" t="s">
        <v>199</v>
      </c>
      <c r="M27" s="723"/>
    </row>
    <row r="28" spans="1:13" s="644" customFormat="1" ht="49.5" customHeight="1">
      <c r="A28" s="645">
        <v>10</v>
      </c>
      <c r="B28" s="712" t="s">
        <v>292</v>
      </c>
      <c r="C28" s="653" t="s">
        <v>325</v>
      </c>
      <c r="D28" s="654" t="s">
        <v>211</v>
      </c>
      <c r="E28" s="611">
        <f>512+600</f>
        <v>1112</v>
      </c>
      <c r="F28" s="608" t="s">
        <v>324</v>
      </c>
      <c r="G28" s="641" t="s">
        <v>236</v>
      </c>
      <c r="H28" s="642">
        <v>1</v>
      </c>
      <c r="I28" s="642">
        <v>0</v>
      </c>
      <c r="J28" s="636">
        <v>41699</v>
      </c>
      <c r="K28" s="636">
        <v>42339</v>
      </c>
      <c r="L28" s="608" t="s">
        <v>199</v>
      </c>
      <c r="M28" s="643"/>
    </row>
    <row r="29" spans="1:13" s="655" customFormat="1" ht="49.5" customHeight="1">
      <c r="A29" s="709"/>
      <c r="B29" s="749" t="s">
        <v>293</v>
      </c>
      <c r="C29" s="750" t="s">
        <v>379</v>
      </c>
      <c r="D29" s="658" t="s">
        <v>213</v>
      </c>
      <c r="E29" s="614">
        <v>2728</v>
      </c>
      <c r="F29" s="659" t="s">
        <v>105</v>
      </c>
      <c r="G29" s="659" t="s">
        <v>236</v>
      </c>
      <c r="H29" s="660">
        <v>1</v>
      </c>
      <c r="I29" s="660">
        <v>0</v>
      </c>
      <c r="J29" s="661">
        <v>41760</v>
      </c>
      <c r="K29" s="661">
        <v>43282</v>
      </c>
      <c r="L29" s="659" t="s">
        <v>199</v>
      </c>
      <c r="M29" s="710"/>
    </row>
    <row r="30" spans="1:13" s="655" customFormat="1" ht="32.25" customHeight="1">
      <c r="A30" s="638">
        <v>11</v>
      </c>
      <c r="B30" s="712" t="s">
        <v>294</v>
      </c>
      <c r="C30" s="648" t="s">
        <v>378</v>
      </c>
      <c r="D30" s="649" t="s">
        <v>265</v>
      </c>
      <c r="E30" s="601">
        <v>850</v>
      </c>
      <c r="F30" s="641" t="s">
        <v>105</v>
      </c>
      <c r="G30" s="641" t="s">
        <v>237</v>
      </c>
      <c r="H30" s="642">
        <v>1</v>
      </c>
      <c r="I30" s="642">
        <v>0</v>
      </c>
      <c r="J30" s="636">
        <v>41852</v>
      </c>
      <c r="K30" s="636">
        <v>42583</v>
      </c>
      <c r="L30" s="608" t="s">
        <v>199</v>
      </c>
      <c r="M30" s="585"/>
    </row>
    <row r="31" spans="1:13" s="656" customFormat="1" ht="40.5" customHeight="1">
      <c r="A31" s="645">
        <v>12</v>
      </c>
      <c r="B31" s="712" t="s">
        <v>295</v>
      </c>
      <c r="C31" s="648" t="s">
        <v>274</v>
      </c>
      <c r="D31" s="649" t="s">
        <v>333</v>
      </c>
      <c r="E31" s="601">
        <v>700</v>
      </c>
      <c r="F31" s="641" t="s">
        <v>105</v>
      </c>
      <c r="G31" s="608" t="s">
        <v>237</v>
      </c>
      <c r="H31" s="642">
        <v>1</v>
      </c>
      <c r="I31" s="642">
        <v>0</v>
      </c>
      <c r="J31" s="652">
        <v>41913</v>
      </c>
      <c r="K31" s="652">
        <v>42278</v>
      </c>
      <c r="L31" s="641" t="s">
        <v>199</v>
      </c>
      <c r="M31" s="585"/>
    </row>
    <row r="32" spans="1:13" s="644" customFormat="1" ht="21.75" customHeight="1">
      <c r="A32" s="638">
        <v>13</v>
      </c>
      <c r="B32" s="749" t="s">
        <v>296</v>
      </c>
      <c r="C32" s="657" t="s">
        <v>380</v>
      </c>
      <c r="D32" s="658" t="s">
        <v>280</v>
      </c>
      <c r="E32" s="612">
        <v>52.8</v>
      </c>
      <c r="F32" s="659" t="s">
        <v>162</v>
      </c>
      <c r="G32" s="659" t="s">
        <v>237</v>
      </c>
      <c r="H32" s="660">
        <v>1</v>
      </c>
      <c r="I32" s="660">
        <v>0</v>
      </c>
      <c r="J32" s="661">
        <v>42005</v>
      </c>
      <c r="K32" s="661">
        <v>42217</v>
      </c>
      <c r="L32" s="659" t="s">
        <v>199</v>
      </c>
      <c r="M32" s="585"/>
    </row>
    <row r="33" spans="1:13" s="644" customFormat="1" ht="21.75" customHeight="1">
      <c r="A33" s="645">
        <v>14</v>
      </c>
      <c r="B33" s="712" t="s">
        <v>297</v>
      </c>
      <c r="C33" s="648" t="s">
        <v>275</v>
      </c>
      <c r="D33" s="649" t="s">
        <v>230</v>
      </c>
      <c r="E33" s="601">
        <v>1540</v>
      </c>
      <c r="F33" s="608" t="s">
        <v>105</v>
      </c>
      <c r="G33" s="641" t="s">
        <v>236</v>
      </c>
      <c r="H33" s="642">
        <v>1</v>
      </c>
      <c r="I33" s="642">
        <v>0</v>
      </c>
      <c r="J33" s="636">
        <v>41671</v>
      </c>
      <c r="K33" s="636">
        <v>43678</v>
      </c>
      <c r="L33" s="608" t="s">
        <v>199</v>
      </c>
      <c r="M33" s="585"/>
    </row>
    <row r="34" spans="1:13" s="666" customFormat="1" ht="41.25" customHeight="1">
      <c r="A34" s="638">
        <v>15</v>
      </c>
      <c r="B34" s="749" t="s">
        <v>298</v>
      </c>
      <c r="C34" s="662" t="s">
        <v>272</v>
      </c>
      <c r="D34" s="663" t="s">
        <v>284</v>
      </c>
      <c r="E34" s="603">
        <v>67.5</v>
      </c>
      <c r="F34" s="664" t="s">
        <v>162</v>
      </c>
      <c r="G34" s="664" t="s">
        <v>237</v>
      </c>
      <c r="H34" s="665">
        <v>1</v>
      </c>
      <c r="I34" s="665">
        <v>0</v>
      </c>
      <c r="J34" s="661">
        <v>41791</v>
      </c>
      <c r="K34" s="661">
        <v>42370</v>
      </c>
      <c r="L34" s="711" t="s">
        <v>199</v>
      </c>
      <c r="M34" s="585"/>
    </row>
    <row r="35" spans="1:13" s="666" customFormat="1" ht="40.5" customHeight="1">
      <c r="A35" s="645">
        <v>16</v>
      </c>
      <c r="B35" s="749" t="s">
        <v>299</v>
      </c>
      <c r="C35" s="662" t="s">
        <v>270</v>
      </c>
      <c r="D35" s="663" t="s">
        <v>282</v>
      </c>
      <c r="E35" s="614">
        <v>375</v>
      </c>
      <c r="F35" s="664" t="s">
        <v>105</v>
      </c>
      <c r="G35" s="664" t="s">
        <v>237</v>
      </c>
      <c r="H35" s="665">
        <v>1</v>
      </c>
      <c r="I35" s="665">
        <v>0</v>
      </c>
      <c r="J35" s="661">
        <v>41791</v>
      </c>
      <c r="K35" s="661">
        <v>42370</v>
      </c>
      <c r="L35" s="664" t="s">
        <v>199</v>
      </c>
      <c r="M35" s="585"/>
    </row>
    <row r="36" spans="1:13" s="667" customFormat="1" ht="54" customHeight="1">
      <c r="A36" s="638">
        <v>17</v>
      </c>
      <c r="B36" s="749" t="s">
        <v>334</v>
      </c>
      <c r="C36" s="662" t="s">
        <v>271</v>
      </c>
      <c r="D36" s="663" t="s">
        <v>283</v>
      </c>
      <c r="E36" s="614">
        <v>90</v>
      </c>
      <c r="F36" s="664" t="s">
        <v>162</v>
      </c>
      <c r="G36" s="664" t="s">
        <v>237</v>
      </c>
      <c r="H36" s="665">
        <v>1</v>
      </c>
      <c r="I36" s="665">
        <v>0</v>
      </c>
      <c r="J36" s="661">
        <v>42156</v>
      </c>
      <c r="K36" s="661">
        <v>42736</v>
      </c>
      <c r="L36" s="664" t="s">
        <v>199</v>
      </c>
      <c r="M36" s="585"/>
    </row>
    <row r="37" spans="1:13" s="667" customFormat="1" ht="24" customHeight="1">
      <c r="A37" s="645">
        <v>18</v>
      </c>
      <c r="B37" s="749" t="s">
        <v>336</v>
      </c>
      <c r="C37" s="662" t="s">
        <v>364</v>
      </c>
      <c r="D37" s="663" t="s">
        <v>332</v>
      </c>
      <c r="E37" s="614">
        <f>8700*5%</f>
        <v>435</v>
      </c>
      <c r="F37" s="664" t="s">
        <v>105</v>
      </c>
      <c r="G37" s="664" t="s">
        <v>237</v>
      </c>
      <c r="H37" s="665">
        <v>1</v>
      </c>
      <c r="I37" s="665">
        <v>0</v>
      </c>
      <c r="J37" s="661">
        <v>41883</v>
      </c>
      <c r="K37" s="661">
        <v>42248</v>
      </c>
      <c r="L37" s="664" t="s">
        <v>199</v>
      </c>
      <c r="M37" s="585"/>
    </row>
    <row r="38" spans="1:13" s="644" customFormat="1" ht="23.25" customHeight="1">
      <c r="A38" s="638">
        <v>19</v>
      </c>
      <c r="B38" s="712" t="s">
        <v>337</v>
      </c>
      <c r="C38" s="648" t="s">
        <v>251</v>
      </c>
      <c r="D38" s="668" t="s">
        <v>22</v>
      </c>
      <c r="E38" s="521">
        <v>600</v>
      </c>
      <c r="F38" s="641" t="s">
        <v>105</v>
      </c>
      <c r="G38" s="651" t="s">
        <v>236</v>
      </c>
      <c r="H38" s="642">
        <v>1</v>
      </c>
      <c r="I38" s="642">
        <v>0</v>
      </c>
      <c r="J38" s="652">
        <v>41821</v>
      </c>
      <c r="K38" s="652">
        <v>43678</v>
      </c>
      <c r="L38" s="641" t="s">
        <v>199</v>
      </c>
      <c r="M38" s="585" t="s">
        <v>392</v>
      </c>
    </row>
    <row r="39" spans="1:13" s="644" customFormat="1" ht="24" customHeight="1">
      <c r="A39" s="638"/>
      <c r="B39" s="749" t="s">
        <v>354</v>
      </c>
      <c r="C39" s="669" t="s">
        <v>391</v>
      </c>
      <c r="D39" s="760" t="s">
        <v>335</v>
      </c>
      <c r="E39" s="615">
        <v>2850</v>
      </c>
      <c r="F39" s="659" t="s">
        <v>105</v>
      </c>
      <c r="G39" s="664" t="s">
        <v>236</v>
      </c>
      <c r="H39" s="660">
        <v>1</v>
      </c>
      <c r="I39" s="660">
        <v>0</v>
      </c>
      <c r="J39" s="661">
        <v>41671</v>
      </c>
      <c r="K39" s="661">
        <v>43282</v>
      </c>
      <c r="L39" s="659" t="s">
        <v>199</v>
      </c>
      <c r="M39" s="585"/>
    </row>
    <row r="40" spans="1:13" s="568" customFormat="1" ht="33" customHeight="1">
      <c r="A40" s="645">
        <v>20</v>
      </c>
      <c r="B40" s="578" t="s">
        <v>328</v>
      </c>
      <c r="C40" s="595"/>
      <c r="D40" s="759"/>
      <c r="E40" s="570">
        <f>SUM(E13:E39)-E23-E26</f>
        <v>30584.300000000003</v>
      </c>
      <c r="F40" s="575"/>
      <c r="G40" s="576"/>
      <c r="H40" s="576"/>
      <c r="I40" s="576"/>
      <c r="J40" s="576"/>
      <c r="K40" s="576"/>
      <c r="L40" s="735"/>
      <c r="M40" s="577"/>
    </row>
    <row r="41" spans="1:13" s="567" customFormat="1" ht="26.25" customHeight="1">
      <c r="A41" s="670">
        <v>21</v>
      </c>
      <c r="B41" s="843" t="s">
        <v>246</v>
      </c>
      <c r="C41" s="843"/>
      <c r="D41" s="843"/>
      <c r="E41" s="843"/>
      <c r="F41" s="843"/>
      <c r="G41" s="843"/>
      <c r="H41" s="843"/>
      <c r="I41" s="843"/>
      <c r="J41" s="843"/>
      <c r="K41" s="843"/>
      <c r="L41" s="843"/>
      <c r="M41" s="844"/>
    </row>
    <row r="42" spans="1:13" s="644" customFormat="1" ht="27" customHeight="1">
      <c r="A42" s="645">
        <v>22</v>
      </c>
      <c r="B42" s="671" t="s">
        <v>17</v>
      </c>
      <c r="C42" s="672" t="s">
        <v>243</v>
      </c>
      <c r="D42" s="673" t="s">
        <v>202</v>
      </c>
      <c r="E42" s="604">
        <v>4450</v>
      </c>
      <c r="F42" s="674" t="s">
        <v>155</v>
      </c>
      <c r="G42" s="675" t="s">
        <v>236</v>
      </c>
      <c r="H42" s="676">
        <v>1</v>
      </c>
      <c r="I42" s="676">
        <v>0</v>
      </c>
      <c r="J42" s="706">
        <v>41699</v>
      </c>
      <c r="K42" s="706">
        <v>42583</v>
      </c>
      <c r="L42" s="675" t="s">
        <v>199</v>
      </c>
      <c r="M42" s="677"/>
    </row>
    <row r="43" spans="1:13" s="644" customFormat="1" ht="21.75" customHeight="1">
      <c r="A43" s="645"/>
      <c r="B43" s="694" t="s">
        <v>18</v>
      </c>
      <c r="C43" s="648" t="s">
        <v>365</v>
      </c>
      <c r="D43" s="649" t="s">
        <v>278</v>
      </c>
      <c r="E43" s="731">
        <v>3625</v>
      </c>
      <c r="F43" s="641" t="s">
        <v>155</v>
      </c>
      <c r="G43" s="617" t="s">
        <v>237</v>
      </c>
      <c r="H43" s="642">
        <v>1</v>
      </c>
      <c r="I43" s="642">
        <v>0</v>
      </c>
      <c r="J43" s="636">
        <v>41791</v>
      </c>
      <c r="K43" s="636">
        <v>42461</v>
      </c>
      <c r="L43" s="641" t="s">
        <v>199</v>
      </c>
      <c r="M43" s="677"/>
    </row>
    <row r="44" spans="1:13" s="644" customFormat="1" ht="21" customHeight="1">
      <c r="A44" s="645"/>
      <c r="B44" s="751" t="s">
        <v>19</v>
      </c>
      <c r="C44" s="708" t="s">
        <v>370</v>
      </c>
      <c r="D44" s="707" t="s">
        <v>201</v>
      </c>
      <c r="E44" s="695">
        <v>1950</v>
      </c>
      <c r="F44" s="696" t="s">
        <v>155</v>
      </c>
      <c r="G44" s="696" t="s">
        <v>237</v>
      </c>
      <c r="H44" s="697">
        <v>1</v>
      </c>
      <c r="I44" s="697">
        <v>0</v>
      </c>
      <c r="J44" s="705">
        <v>41699</v>
      </c>
      <c r="K44" s="705">
        <v>42217</v>
      </c>
      <c r="L44" s="696" t="s">
        <v>199</v>
      </c>
      <c r="M44" s="698"/>
    </row>
    <row r="45" spans="1:13" s="644" customFormat="1" ht="21" customHeight="1">
      <c r="A45" s="645">
        <v>24</v>
      </c>
      <c r="B45" s="694" t="s">
        <v>317</v>
      </c>
      <c r="C45" s="648" t="s">
        <v>366</v>
      </c>
      <c r="D45" s="649" t="s">
        <v>216</v>
      </c>
      <c r="E45" s="731">
        <v>6100</v>
      </c>
      <c r="F45" s="641" t="s">
        <v>369</v>
      </c>
      <c r="G45" s="641" t="s">
        <v>237</v>
      </c>
      <c r="H45" s="642">
        <v>0</v>
      </c>
      <c r="I45" s="642">
        <v>1</v>
      </c>
      <c r="J45" s="636">
        <v>41183</v>
      </c>
      <c r="K45" s="636">
        <v>42370</v>
      </c>
      <c r="L45" s="641" t="s">
        <v>264</v>
      </c>
      <c r="M45" s="643"/>
    </row>
    <row r="46" spans="1:13" s="721" customFormat="1" ht="23.25" customHeight="1">
      <c r="A46" s="728"/>
      <c r="B46" s="752" t="s">
        <v>318</v>
      </c>
      <c r="C46" s="725" t="s">
        <v>386</v>
      </c>
      <c r="D46" s="726" t="s">
        <v>217</v>
      </c>
      <c r="E46" s="732">
        <v>15000</v>
      </c>
      <c r="F46" s="717" t="s">
        <v>155</v>
      </c>
      <c r="G46" s="717" t="s">
        <v>237</v>
      </c>
      <c r="H46" s="718">
        <v>0</v>
      </c>
      <c r="I46" s="718">
        <v>1</v>
      </c>
      <c r="J46" s="719">
        <v>41395</v>
      </c>
      <c r="K46" s="719">
        <v>41609</v>
      </c>
      <c r="L46" s="717" t="s">
        <v>383</v>
      </c>
      <c r="M46" s="730" t="s">
        <v>385</v>
      </c>
    </row>
    <row r="47" spans="1:13" s="644" customFormat="1" ht="23.25" customHeight="1">
      <c r="A47" s="645">
        <v>26</v>
      </c>
      <c r="B47" s="694" t="s">
        <v>319</v>
      </c>
      <c r="C47" s="679" t="s">
        <v>367</v>
      </c>
      <c r="D47" s="649" t="s">
        <v>218</v>
      </c>
      <c r="E47" s="731">
        <v>13360</v>
      </c>
      <c r="F47" s="641" t="s">
        <v>369</v>
      </c>
      <c r="G47" s="651" t="s">
        <v>237</v>
      </c>
      <c r="H47" s="680">
        <v>0</v>
      </c>
      <c r="I47" s="680">
        <v>1</v>
      </c>
      <c r="J47" s="636">
        <v>41068</v>
      </c>
      <c r="K47" s="636">
        <v>41944</v>
      </c>
      <c r="L47" s="651" t="s">
        <v>264</v>
      </c>
      <c r="M47" s="585"/>
    </row>
    <row r="48" spans="1:13" s="644" customFormat="1" ht="23.25" customHeight="1">
      <c r="A48" s="638">
        <v>27</v>
      </c>
      <c r="B48" s="694" t="s">
        <v>320</v>
      </c>
      <c r="C48" s="679" t="s">
        <v>368</v>
      </c>
      <c r="D48" s="649" t="s">
        <v>219</v>
      </c>
      <c r="E48" s="731">
        <v>15260</v>
      </c>
      <c r="F48" s="641" t="s">
        <v>369</v>
      </c>
      <c r="G48" s="641" t="s">
        <v>237</v>
      </c>
      <c r="H48" s="642">
        <v>0</v>
      </c>
      <c r="I48" s="642">
        <v>1</v>
      </c>
      <c r="J48" s="636">
        <v>41821</v>
      </c>
      <c r="K48" s="636">
        <v>42552</v>
      </c>
      <c r="L48" s="641" t="s">
        <v>199</v>
      </c>
      <c r="M48" s="585"/>
    </row>
    <row r="49" spans="1:13" s="644" customFormat="1" ht="23.25" customHeight="1">
      <c r="A49" s="645">
        <v>28</v>
      </c>
      <c r="B49" s="694" t="s">
        <v>321</v>
      </c>
      <c r="C49" s="679" t="s">
        <v>247</v>
      </c>
      <c r="D49" s="649" t="s">
        <v>220</v>
      </c>
      <c r="E49" s="731">
        <v>10640</v>
      </c>
      <c r="F49" s="641" t="s">
        <v>369</v>
      </c>
      <c r="G49" s="641" t="s">
        <v>237</v>
      </c>
      <c r="H49" s="642">
        <v>0</v>
      </c>
      <c r="I49" s="642">
        <v>1</v>
      </c>
      <c r="J49" s="652">
        <v>41395</v>
      </c>
      <c r="K49" s="636">
        <v>42217</v>
      </c>
      <c r="L49" s="641" t="s">
        <v>331</v>
      </c>
      <c r="M49" s="643"/>
    </row>
    <row r="50" spans="1:13" s="721" customFormat="1" ht="23.25" customHeight="1">
      <c r="A50" s="728"/>
      <c r="B50" s="752" t="s">
        <v>322</v>
      </c>
      <c r="C50" s="733" t="s">
        <v>387</v>
      </c>
      <c r="D50" s="726" t="s">
        <v>214</v>
      </c>
      <c r="E50" s="732">
        <v>4750</v>
      </c>
      <c r="F50" s="717" t="s">
        <v>155</v>
      </c>
      <c r="G50" s="717" t="s">
        <v>237</v>
      </c>
      <c r="H50" s="718">
        <v>0</v>
      </c>
      <c r="I50" s="718">
        <v>1</v>
      </c>
      <c r="J50" s="719">
        <v>41395</v>
      </c>
      <c r="K50" s="719">
        <v>41760</v>
      </c>
      <c r="L50" s="717" t="s">
        <v>383</v>
      </c>
      <c r="M50" s="730" t="s">
        <v>385</v>
      </c>
    </row>
    <row r="51" spans="1:13" s="644" customFormat="1" ht="21" customHeight="1">
      <c r="A51" s="645">
        <v>30</v>
      </c>
      <c r="B51" s="751" t="s">
        <v>323</v>
      </c>
      <c r="C51" s="681" t="s">
        <v>266</v>
      </c>
      <c r="D51" s="682" t="s">
        <v>253</v>
      </c>
      <c r="E51" s="616">
        <v>13700</v>
      </c>
      <c r="F51" s="683" t="s">
        <v>155</v>
      </c>
      <c r="G51" s="685" t="s">
        <v>237</v>
      </c>
      <c r="H51" s="684">
        <v>1</v>
      </c>
      <c r="I51" s="684">
        <v>0</v>
      </c>
      <c r="J51" s="693">
        <v>41944</v>
      </c>
      <c r="K51" s="693">
        <v>42795</v>
      </c>
      <c r="L51" s="683" t="s">
        <v>199</v>
      </c>
      <c r="M51" s="643"/>
    </row>
    <row r="52" spans="1:13" s="568" customFormat="1" ht="28.5" customHeight="1">
      <c r="A52" s="638">
        <v>33</v>
      </c>
      <c r="B52" s="578" t="s">
        <v>326</v>
      </c>
      <c r="C52" s="595"/>
      <c r="D52" s="596"/>
      <c r="E52" s="743">
        <f>SUM(E42:E51)-E50-E46</f>
        <v>69085</v>
      </c>
      <c r="F52" s="575"/>
      <c r="G52" s="576"/>
      <c r="H52" s="576"/>
      <c r="I52" s="576"/>
      <c r="J52" s="576"/>
      <c r="K52" s="576"/>
      <c r="L52" s="735"/>
      <c r="M52" s="577"/>
    </row>
    <row r="53" spans="1:13" s="568" customFormat="1" ht="26.25" customHeight="1">
      <c r="A53" s="645">
        <v>34</v>
      </c>
      <c r="B53" s="578" t="s">
        <v>248</v>
      </c>
      <c r="C53" s="595"/>
      <c r="D53" s="595"/>
      <c r="E53" s="743"/>
      <c r="F53" s="595"/>
      <c r="G53" s="595"/>
      <c r="H53" s="595"/>
      <c r="I53" s="595"/>
      <c r="J53" s="595"/>
      <c r="K53" s="595"/>
      <c r="L53" s="736"/>
      <c r="M53" s="596"/>
    </row>
    <row r="54" spans="1:13" s="721" customFormat="1" ht="25.5" customHeight="1">
      <c r="A54" s="634"/>
      <c r="B54" s="739" t="s">
        <v>22</v>
      </c>
      <c r="C54" s="747" t="s">
        <v>388</v>
      </c>
      <c r="D54" s="746" t="s">
        <v>195</v>
      </c>
      <c r="E54" s="732">
        <v>50</v>
      </c>
      <c r="F54" s="739" t="s">
        <v>106</v>
      </c>
      <c r="G54" s="739" t="s">
        <v>237</v>
      </c>
      <c r="H54" s="740">
        <v>1</v>
      </c>
      <c r="I54" s="740">
        <v>0</v>
      </c>
      <c r="J54" s="729">
        <v>41426</v>
      </c>
      <c r="K54" s="729">
        <v>41548</v>
      </c>
      <c r="L54" s="739" t="s">
        <v>383</v>
      </c>
      <c r="M54" s="730" t="s">
        <v>385</v>
      </c>
    </row>
    <row r="55" spans="1:13" s="704" customFormat="1" ht="33.75" customHeight="1">
      <c r="A55" s="700"/>
      <c r="B55" s="701" t="s">
        <v>151</v>
      </c>
      <c r="C55" s="708" t="s">
        <v>374</v>
      </c>
      <c r="D55" s="702" t="s">
        <v>201</v>
      </c>
      <c r="E55" s="613">
        <v>400</v>
      </c>
      <c r="F55" s="701" t="s">
        <v>106</v>
      </c>
      <c r="G55" s="685" t="s">
        <v>237</v>
      </c>
      <c r="H55" s="686">
        <v>1</v>
      </c>
      <c r="I55" s="686">
        <v>0</v>
      </c>
      <c r="J55" s="705">
        <v>41760</v>
      </c>
      <c r="K55" s="705">
        <v>42156</v>
      </c>
      <c r="L55" s="701" t="s">
        <v>199</v>
      </c>
      <c r="M55" s="703"/>
    </row>
    <row r="56" spans="1:13" s="644" customFormat="1" ht="24" customHeight="1">
      <c r="A56" s="638">
        <v>35</v>
      </c>
      <c r="B56" s="699" t="s">
        <v>300</v>
      </c>
      <c r="C56" s="687" t="s">
        <v>249</v>
      </c>
      <c r="D56" s="688" t="s">
        <v>241</v>
      </c>
      <c r="E56" s="616">
        <v>2500</v>
      </c>
      <c r="F56" s="683" t="s">
        <v>106</v>
      </c>
      <c r="G56" s="685" t="s">
        <v>237</v>
      </c>
      <c r="H56" s="684">
        <v>1</v>
      </c>
      <c r="I56" s="684">
        <v>0</v>
      </c>
      <c r="J56" s="693">
        <v>41671</v>
      </c>
      <c r="K56" s="693">
        <v>41821</v>
      </c>
      <c r="L56" s="683" t="s">
        <v>199</v>
      </c>
      <c r="M56" s="643"/>
    </row>
    <row r="57" spans="1:13" s="678" customFormat="1" ht="22.5" customHeight="1">
      <c r="A57" s="645">
        <v>36</v>
      </c>
      <c r="B57" s="699" t="s">
        <v>301</v>
      </c>
      <c r="C57" s="687" t="s">
        <v>372</v>
      </c>
      <c r="D57" s="688" t="s">
        <v>279</v>
      </c>
      <c r="E57" s="616">
        <v>675</v>
      </c>
      <c r="F57" s="683" t="s">
        <v>106</v>
      </c>
      <c r="G57" s="683" t="s">
        <v>237</v>
      </c>
      <c r="H57" s="684">
        <v>1</v>
      </c>
      <c r="I57" s="684">
        <v>0</v>
      </c>
      <c r="J57" s="693">
        <v>41791</v>
      </c>
      <c r="K57" s="693">
        <v>41944</v>
      </c>
      <c r="L57" s="683" t="s">
        <v>199</v>
      </c>
      <c r="M57" s="643"/>
    </row>
    <row r="58" spans="1:13" s="690" customFormat="1" ht="36" customHeight="1">
      <c r="A58" s="638">
        <v>37</v>
      </c>
      <c r="B58" s="699" t="s">
        <v>302</v>
      </c>
      <c r="C58" s="687" t="s">
        <v>373</v>
      </c>
      <c r="D58" s="682" t="s">
        <v>253</v>
      </c>
      <c r="E58" s="616">
        <v>2410</v>
      </c>
      <c r="F58" s="683" t="s">
        <v>106</v>
      </c>
      <c r="G58" s="683" t="s">
        <v>237</v>
      </c>
      <c r="H58" s="684">
        <v>1</v>
      </c>
      <c r="I58" s="684">
        <v>0</v>
      </c>
      <c r="J58" s="693">
        <v>41944</v>
      </c>
      <c r="K58" s="693">
        <v>42095</v>
      </c>
      <c r="L58" s="683" t="s">
        <v>199</v>
      </c>
      <c r="M58" s="689"/>
    </row>
    <row r="59" spans="1:13" s="678" customFormat="1" ht="39" customHeight="1">
      <c r="A59" s="645">
        <v>38</v>
      </c>
      <c r="B59" s="699" t="s">
        <v>371</v>
      </c>
      <c r="C59" s="681" t="s">
        <v>281</v>
      </c>
      <c r="D59" s="682" t="s">
        <v>229</v>
      </c>
      <c r="E59" s="745">
        <v>1000</v>
      </c>
      <c r="F59" s="685" t="s">
        <v>106</v>
      </c>
      <c r="G59" s="685" t="s">
        <v>237</v>
      </c>
      <c r="H59" s="686">
        <v>1</v>
      </c>
      <c r="I59" s="686">
        <v>0</v>
      </c>
      <c r="J59" s="693">
        <v>41791</v>
      </c>
      <c r="K59" s="693">
        <v>42278</v>
      </c>
      <c r="L59" s="737" t="s">
        <v>199</v>
      </c>
      <c r="M59" s="585"/>
    </row>
    <row r="60" spans="1:13" s="644" customFormat="1" ht="26.25" customHeight="1">
      <c r="A60" s="638">
        <v>39</v>
      </c>
      <c r="B60" s="699" t="s">
        <v>389</v>
      </c>
      <c r="C60" s="681" t="s">
        <v>375</v>
      </c>
      <c r="D60" s="682" t="s">
        <v>355</v>
      </c>
      <c r="E60" s="613">
        <v>105</v>
      </c>
      <c r="F60" s="685" t="s">
        <v>106</v>
      </c>
      <c r="G60" s="685" t="s">
        <v>237</v>
      </c>
      <c r="H60" s="686">
        <v>1</v>
      </c>
      <c r="I60" s="686">
        <v>0</v>
      </c>
      <c r="J60" s="693">
        <v>41730</v>
      </c>
      <c r="K60" s="693">
        <v>41852</v>
      </c>
      <c r="L60" s="685" t="s">
        <v>199</v>
      </c>
      <c r="M60" s="585"/>
    </row>
    <row r="61" spans="1:13" s="568" customFormat="1" ht="27.75" customHeight="1">
      <c r="A61" s="645">
        <v>40</v>
      </c>
      <c r="B61" s="578" t="s">
        <v>327</v>
      </c>
      <c r="C61" s="595"/>
      <c r="D61" s="596"/>
      <c r="E61" s="570">
        <f>SUM(E54:E60)-E54</f>
        <v>7090</v>
      </c>
      <c r="F61" s="575"/>
      <c r="G61" s="576"/>
      <c r="H61" s="576"/>
      <c r="I61" s="576"/>
      <c r="J61" s="576"/>
      <c r="K61" s="576"/>
      <c r="L61" s="735"/>
      <c r="M61" s="577"/>
    </row>
    <row r="62" spans="1:13" s="568" customFormat="1" ht="30.75" customHeight="1">
      <c r="A62" s="638">
        <v>41</v>
      </c>
      <c r="B62" s="578" t="s">
        <v>250</v>
      </c>
      <c r="C62" s="595"/>
      <c r="D62" s="595"/>
      <c r="E62" s="595"/>
      <c r="F62" s="595"/>
      <c r="G62" s="595"/>
      <c r="H62" s="595"/>
      <c r="I62" s="595"/>
      <c r="J62" s="595"/>
      <c r="K62" s="595"/>
      <c r="L62" s="736"/>
      <c r="M62" s="596"/>
    </row>
    <row r="63" spans="1:13" s="721" customFormat="1" ht="28.5" customHeight="1">
      <c r="A63" s="728">
        <v>42</v>
      </c>
      <c r="B63" s="741" t="s">
        <v>26</v>
      </c>
      <c r="C63" s="725" t="s">
        <v>251</v>
      </c>
      <c r="D63" s="742" t="s">
        <v>22</v>
      </c>
      <c r="E63" s="717">
        <v>600</v>
      </c>
      <c r="F63" s="727" t="s">
        <v>105</v>
      </c>
      <c r="G63" s="727" t="s">
        <v>237</v>
      </c>
      <c r="H63" s="718">
        <v>1</v>
      </c>
      <c r="I63" s="718">
        <v>0</v>
      </c>
      <c r="J63" s="719">
        <v>41548</v>
      </c>
      <c r="K63" s="719">
        <v>43586</v>
      </c>
      <c r="L63" s="717" t="s">
        <v>199</v>
      </c>
      <c r="M63" s="720" t="s">
        <v>390</v>
      </c>
    </row>
    <row r="64" spans="1:13" s="568" customFormat="1" ht="25.5" customHeight="1">
      <c r="A64" s="638">
        <v>43</v>
      </c>
      <c r="B64" s="578" t="s">
        <v>267</v>
      </c>
      <c r="C64" s="595"/>
      <c r="D64" s="595"/>
      <c r="E64" s="569">
        <v>0</v>
      </c>
      <c r="F64" s="575"/>
      <c r="G64" s="576"/>
      <c r="H64" s="576"/>
      <c r="I64" s="576"/>
      <c r="J64" s="576"/>
      <c r="K64" s="576"/>
      <c r="L64" s="735"/>
      <c r="M64" s="577"/>
    </row>
    <row r="65" spans="1:13" s="568" customFormat="1" ht="27.75" customHeight="1">
      <c r="A65" s="645">
        <v>44</v>
      </c>
      <c r="B65" s="578" t="s">
        <v>268</v>
      </c>
      <c r="C65" s="589"/>
      <c r="D65" s="583"/>
      <c r="E65" s="744">
        <f>SUM(E64,E61,E52,E40)</f>
        <v>106759.3</v>
      </c>
      <c r="F65" s="578"/>
      <c r="G65" s="595"/>
      <c r="H65" s="595"/>
      <c r="I65" s="595"/>
      <c r="J65" s="595"/>
      <c r="K65" s="595"/>
      <c r="L65" s="738"/>
      <c r="M65" s="596"/>
    </row>
    <row r="66" spans="1:13" s="568" customFormat="1" ht="24.75" customHeight="1">
      <c r="A66" s="638">
        <v>45</v>
      </c>
      <c r="B66" s="578" t="s">
        <v>269</v>
      </c>
      <c r="C66" s="589"/>
      <c r="D66" s="583"/>
      <c r="E66" s="571">
        <v>100</v>
      </c>
      <c r="F66" s="575"/>
      <c r="G66" s="576"/>
      <c r="H66" s="576"/>
      <c r="I66" s="576"/>
      <c r="J66" s="576"/>
      <c r="K66" s="576"/>
      <c r="L66" s="735"/>
      <c r="M66" s="597"/>
    </row>
    <row r="67" spans="1:13" ht="29.25" customHeight="1" thickBot="1">
      <c r="B67" s="761"/>
      <c r="C67" s="838" t="s">
        <v>303</v>
      </c>
      <c r="D67" s="838"/>
      <c r="E67" s="839"/>
      <c r="F67" s="839"/>
      <c r="G67" s="839"/>
      <c r="H67" s="839"/>
      <c r="I67" s="839"/>
      <c r="J67" s="839"/>
      <c r="K67" s="839"/>
      <c r="L67" s="839"/>
      <c r="M67" s="839"/>
    </row>
    <row r="68" spans="1:13" ht="66.75" customHeight="1">
      <c r="B68" s="618" t="s">
        <v>304</v>
      </c>
      <c r="C68" s="840" t="s">
        <v>346</v>
      </c>
      <c r="D68" s="840"/>
      <c r="E68" s="841"/>
      <c r="F68" s="841"/>
      <c r="G68" s="841"/>
      <c r="H68" s="841"/>
      <c r="I68" s="841"/>
      <c r="J68" s="841"/>
      <c r="K68" s="841"/>
      <c r="L68" s="841"/>
      <c r="M68" s="841"/>
    </row>
    <row r="69" spans="1:13" ht="10.5" customHeight="1">
      <c r="B69" s="618"/>
      <c r="C69" s="619"/>
      <c r="D69" s="619"/>
      <c r="E69" s="754"/>
      <c r="F69" s="754"/>
      <c r="G69" s="754"/>
      <c r="H69" s="754"/>
      <c r="I69" s="754"/>
      <c r="J69" s="754"/>
      <c r="K69" s="754"/>
      <c r="L69" s="754"/>
      <c r="M69" s="754"/>
    </row>
    <row r="70" spans="1:13" ht="18" customHeight="1">
      <c r="B70" s="621" t="s">
        <v>305</v>
      </c>
      <c r="C70" s="842" t="s">
        <v>347</v>
      </c>
      <c r="D70" s="842"/>
      <c r="E70" s="842"/>
      <c r="F70" s="622"/>
      <c r="G70" s="622"/>
      <c r="H70" s="623"/>
      <c r="I70" s="623"/>
      <c r="J70" s="624"/>
      <c r="K70" s="624"/>
      <c r="L70" s="623"/>
      <c r="M70" s="623"/>
    </row>
    <row r="71" spans="1:13" ht="10.5" customHeight="1">
      <c r="B71" s="621"/>
      <c r="C71" s="625"/>
      <c r="D71" s="755"/>
      <c r="E71" s="755"/>
      <c r="F71" s="622"/>
      <c r="G71" s="622"/>
      <c r="H71" s="623"/>
      <c r="I71" s="623"/>
      <c r="J71" s="624"/>
      <c r="K71" s="624"/>
      <c r="L71" s="623"/>
      <c r="M71" s="623"/>
    </row>
    <row r="72" spans="1:13" ht="18" customHeight="1">
      <c r="B72" s="621" t="s">
        <v>306</v>
      </c>
      <c r="C72" s="627" t="s">
        <v>348</v>
      </c>
      <c r="D72" s="622"/>
      <c r="E72" s="622"/>
      <c r="F72" s="622"/>
      <c r="G72" s="622"/>
      <c r="H72" s="623"/>
      <c r="I72" s="623"/>
      <c r="J72" s="624"/>
      <c r="K72" s="624"/>
      <c r="L72" s="623"/>
      <c r="M72" s="623"/>
    </row>
    <row r="73" spans="1:13" ht="10.5" customHeight="1">
      <c r="B73" s="621"/>
      <c r="C73" s="627"/>
      <c r="D73" s="622"/>
      <c r="E73" s="622"/>
      <c r="F73" s="622"/>
      <c r="G73" s="622"/>
      <c r="H73" s="623"/>
      <c r="I73" s="623"/>
      <c r="J73" s="624"/>
      <c r="K73" s="624"/>
      <c r="L73" s="623"/>
      <c r="M73" s="623"/>
    </row>
    <row r="74" spans="1:13" ht="18" customHeight="1">
      <c r="B74" s="621" t="s">
        <v>307</v>
      </c>
      <c r="C74" s="628" t="s">
        <v>349</v>
      </c>
      <c r="D74" s="629"/>
      <c r="E74" s="629"/>
      <c r="F74" s="629"/>
      <c r="G74" s="624"/>
      <c r="H74" s="624"/>
      <c r="I74" s="623"/>
      <c r="J74" s="623"/>
      <c r="K74" s="630"/>
      <c r="L74" s="630"/>
      <c r="M74" s="630"/>
    </row>
    <row r="75" spans="1:13" ht="10.5" customHeight="1">
      <c r="B75" s="621"/>
      <c r="C75" s="628"/>
      <c r="D75" s="629"/>
      <c r="E75" s="629"/>
      <c r="F75" s="629"/>
      <c r="G75" s="624"/>
      <c r="H75" s="624"/>
      <c r="I75" s="623"/>
      <c r="J75" s="623"/>
      <c r="K75" s="630"/>
      <c r="L75" s="630"/>
      <c r="M75" s="630"/>
    </row>
    <row r="76" spans="1:13" ht="15.75">
      <c r="B76" s="621" t="s">
        <v>308</v>
      </c>
      <c r="C76" s="628" t="s">
        <v>350</v>
      </c>
      <c r="D76" s="629"/>
      <c r="E76" s="629"/>
      <c r="F76" s="629"/>
      <c r="G76" s="624"/>
      <c r="H76" s="624"/>
      <c r="I76" s="623"/>
      <c r="J76" s="623"/>
      <c r="K76" s="631"/>
      <c r="L76" s="630"/>
      <c r="M76" s="630"/>
    </row>
    <row r="77" spans="1:13" ht="10.5" customHeight="1">
      <c r="B77" s="621"/>
      <c r="C77" s="628"/>
      <c r="D77" s="629"/>
      <c r="E77" s="629"/>
      <c r="F77" s="632"/>
      <c r="G77" s="632"/>
      <c r="H77" s="623"/>
      <c r="I77" s="623"/>
      <c r="J77" s="631"/>
      <c r="K77" s="631"/>
      <c r="L77" s="630"/>
      <c r="M77" s="630"/>
    </row>
    <row r="78" spans="1:13" ht="15.75">
      <c r="B78" s="621" t="s">
        <v>309</v>
      </c>
      <c r="C78" s="628" t="s">
        <v>351</v>
      </c>
      <c r="D78" s="629"/>
      <c r="E78" s="629"/>
      <c r="F78" s="632"/>
      <c r="G78" s="632"/>
      <c r="H78" s="622"/>
      <c r="I78" s="623"/>
      <c r="J78" s="631"/>
      <c r="K78" s="631"/>
      <c r="L78" s="630"/>
      <c r="M78" s="630"/>
    </row>
    <row r="79" spans="1:13" ht="10.5" customHeight="1">
      <c r="B79" s="621"/>
      <c r="C79" s="628"/>
      <c r="D79" s="629"/>
      <c r="E79" s="629"/>
      <c r="F79" s="632"/>
      <c r="G79" s="632"/>
      <c r="H79" s="623"/>
      <c r="I79" s="623"/>
      <c r="J79" s="631"/>
      <c r="K79" s="631"/>
      <c r="L79" s="630"/>
      <c r="M79" s="630"/>
    </row>
    <row r="80" spans="1:13" ht="30.75">
      <c r="B80" s="621" t="s">
        <v>310</v>
      </c>
      <c r="C80" s="627" t="s">
        <v>352</v>
      </c>
      <c r="D80" s="622"/>
      <c r="E80" s="622"/>
      <c r="F80" s="622"/>
      <c r="G80" s="622"/>
      <c r="H80" s="622"/>
      <c r="I80" s="622"/>
      <c r="J80" s="631"/>
      <c r="K80" s="631"/>
      <c r="L80" s="630"/>
      <c r="M80" s="630"/>
    </row>
    <row r="81" spans="2:13" ht="10.5" customHeight="1">
      <c r="B81" s="630"/>
      <c r="C81" s="633"/>
      <c r="D81" s="630"/>
      <c r="E81" s="600"/>
      <c r="F81" s="630"/>
      <c r="G81" s="630"/>
      <c r="H81" s="630"/>
      <c r="I81" s="630"/>
      <c r="J81" s="631"/>
      <c r="K81" s="631"/>
      <c r="L81" s="630"/>
      <c r="M81" s="630"/>
    </row>
    <row r="82" spans="2:13" ht="15.75">
      <c r="B82" s="621" t="s">
        <v>311</v>
      </c>
      <c r="C82" s="633" t="s">
        <v>353</v>
      </c>
      <c r="D82" s="630"/>
      <c r="E82" s="600"/>
      <c r="F82" s="630"/>
      <c r="G82" s="630"/>
      <c r="H82" s="630"/>
      <c r="I82" s="630"/>
      <c r="J82" s="631"/>
      <c r="K82" s="631"/>
      <c r="L82" s="630"/>
      <c r="M82" s="630"/>
    </row>
    <row r="83" spans="2:13" ht="4.5" customHeight="1">
      <c r="B83" s="580"/>
      <c r="C83" s="590"/>
      <c r="D83" s="584"/>
      <c r="E83" s="566"/>
    </row>
  </sheetData>
  <mergeCells count="20">
    <mergeCell ref="B41:M41"/>
    <mergeCell ref="C67:M67"/>
    <mergeCell ref="C68:M68"/>
    <mergeCell ref="C70:E70"/>
    <mergeCell ref="L8:L10"/>
    <mergeCell ref="M8:M10"/>
    <mergeCell ref="H9:H10"/>
    <mergeCell ref="I9:I10"/>
    <mergeCell ref="J9:J10"/>
    <mergeCell ref="K9:K10"/>
    <mergeCell ref="B1:M1"/>
    <mergeCell ref="B2:M2"/>
    <mergeCell ref="B3:M3"/>
    <mergeCell ref="B4:M4"/>
    <mergeCell ref="B8:B10"/>
    <mergeCell ref="C8:C10"/>
    <mergeCell ref="D8:D10"/>
    <mergeCell ref="E8:E10"/>
    <mergeCell ref="F8:F10"/>
    <mergeCell ref="G8:G10"/>
  </mergeCells>
  <pageMargins left="0.25" right="0.25" top="0.75" bottom="0.75" header="0.3" footer="0.3"/>
  <pageSetup scale="48" orientation="landscape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38250320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2901/OC-BR</Approval_x0020_Number>
    <Document_x0020_Author xmlns="9c571b2f-e523-4ab2-ba2e-09e151a03ef4">Altafin, Irene Guimarães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2013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BR-L1295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Plan&lt;/USER_STAGE&gt;&lt;PD_OBJ_TYPE&gt;0&lt;/PD_OBJ_TYPE&gt;&lt;MAKERECORD&gt;N&lt;/MAKERECORD&gt;&lt;PD_FILEPT_NO&gt;PO-BR-L1295-GS&lt;/PD_FILEPT_NO&gt;&lt;/Data&gt;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A54CCE1CEF298F49BD7D9F22B542D46B" ma:contentTypeVersion="0" ma:contentTypeDescription="A content type to manage public (operations) IDB documents" ma:contentTypeScope="" ma:versionID="ce8d383b5a79cf1ce90206ddcfe22ab3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526862-CEFC-434C-B99C-9C29EB9F573A}"/>
</file>

<file path=customXml/itemProps2.xml><?xml version="1.0" encoding="utf-8"?>
<ds:datastoreItem xmlns:ds="http://schemas.openxmlformats.org/officeDocument/2006/customXml" ds:itemID="{FC986259-B238-481D-83E7-A17A08031F58}"/>
</file>

<file path=customXml/itemProps3.xml><?xml version="1.0" encoding="utf-8"?>
<ds:datastoreItem xmlns:ds="http://schemas.openxmlformats.org/officeDocument/2006/customXml" ds:itemID="{C073D54E-31A2-42E6-AFC2-C2DEF8904511}"/>
</file>

<file path=customXml/itemProps4.xml><?xml version="1.0" encoding="utf-8"?>
<ds:datastoreItem xmlns:ds="http://schemas.openxmlformats.org/officeDocument/2006/customXml" ds:itemID="{78224E9E-1713-4D8B-BD8E-3787B46CDE16}"/>
</file>

<file path=customXml/itemProps5.xml><?xml version="1.0" encoding="utf-8"?>
<ds:datastoreItem xmlns:ds="http://schemas.openxmlformats.org/officeDocument/2006/customXml" ds:itemID="{CF49663F-ED44-40A1-907F-90D79C0B5A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POA (2)</vt:lpstr>
      <vt:lpstr>CRONOG DOLAR</vt:lpstr>
      <vt:lpstr>PA - Nº 01 - PSA IPOJUCA</vt:lpstr>
      <vt:lpstr>Crono Fisico</vt:lpstr>
      <vt:lpstr>Crono Financeiro</vt:lpstr>
      <vt:lpstr>Custo e Financ Anual </vt:lpstr>
      <vt:lpstr>Plan1</vt:lpstr>
      <vt:lpstr>Plan3</vt:lpstr>
      <vt:lpstr>'Crono Financeiro'!Print_Area</vt:lpstr>
      <vt:lpstr>'Crono Fisico'!Print_Area</vt:lpstr>
      <vt:lpstr>'CRONOG DOLAR'!Print_Area</vt:lpstr>
      <vt:lpstr>'Custo e Financ Anual '!Print_Area</vt:lpstr>
      <vt:lpstr>'PA - Nº 01 - PSA IPOJUCA'!Print_Area</vt:lpstr>
      <vt:lpstr>'POA (2)'!Print_Area</vt:lpstr>
      <vt:lpstr>'PA - Nº 01 - PSA IPOJUCA'!Print_Titles</vt:lpstr>
      <vt:lpstr>'POA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- 2901_OC-BR;BR-L1295</dc:title>
  <dc:creator>Fidel</dc:creator>
  <cp:lastModifiedBy>Test</cp:lastModifiedBy>
  <cp:lastPrinted>2013-11-21T16:47:01Z</cp:lastPrinted>
  <dcterms:created xsi:type="dcterms:W3CDTF">2012-05-02T03:30:08Z</dcterms:created>
  <dcterms:modified xsi:type="dcterms:W3CDTF">2013-11-21T18:53:06Z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0x01010046CF21643EE8D14686A648AA6DAD089200A54CCE1CEF298F49BD7D9F22B542D46B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