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mbeddings/oleObject2.bin" ContentType="application/vnd.openxmlformats-officedocument.oleObject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1550" windowHeight="5250" tabRatio="331" firstSheet="1" activeTab="1"/>
  </bookViews>
  <sheets>
    <sheet name="INVERSIONES Y CRONOGRAMA." sheetId="14" r:id="rId1"/>
    <sheet name="Sólo desembolso BID" sheetId="17" r:id="rId2"/>
  </sheets>
  <definedNames>
    <definedName name="Excel_BuiltIn_Print_Area_1_1" localSheetId="1">#REF!</definedName>
    <definedName name="Excel_BuiltIn_Print_Area_1_1">#REF!</definedName>
    <definedName name="_xlnm.Print_Area" localSheetId="0">'INVERSIONES Y CRONOGRAMA.'!$A$1:$M$85</definedName>
    <definedName name="_xlnm.Print_Area" localSheetId="1">'Sólo desembolso BID'!$A$1:$K$70</definedName>
    <definedName name="_xlnm.Print_Titles" localSheetId="0">'INVERSIONES Y CRONOGRAMA.'!$1:$10</definedName>
    <definedName name="_xlnm.Print_Titles" localSheetId="1">'Sólo desembolso BID'!$1:$10</definedName>
  </definedNames>
  <calcPr calcId="145621"/>
</workbook>
</file>

<file path=xl/calcChain.xml><?xml version="1.0" encoding="utf-8"?>
<calcChain xmlns="http://schemas.openxmlformats.org/spreadsheetml/2006/main">
  <c r="C68" i="17" l="1"/>
  <c r="C67" i="17"/>
  <c r="C66" i="17"/>
  <c r="C65" i="17"/>
  <c r="C64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38" i="17"/>
  <c r="C37" i="17"/>
  <c r="C36" i="17"/>
  <c r="C35" i="17"/>
  <c r="C34" i="17"/>
  <c r="C33" i="17"/>
  <c r="C32" i="17"/>
  <c r="C31" i="17"/>
  <c r="C30" i="17"/>
  <c r="C29" i="17"/>
  <c r="C27" i="17"/>
  <c r="C26" i="17"/>
  <c r="C25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A68" i="17"/>
  <c r="A67" i="17"/>
  <c r="A66" i="17"/>
  <c r="A65" i="17"/>
  <c r="A64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4" i="17"/>
  <c r="A45" i="17"/>
  <c r="A43" i="17"/>
  <c r="A42" i="17"/>
  <c r="A38" i="17"/>
  <c r="A37" i="17"/>
  <c r="A36" i="17"/>
  <c r="A35" i="17"/>
  <c r="A34" i="17"/>
  <c r="A33" i="17"/>
  <c r="A32" i="17"/>
  <c r="A31" i="17"/>
  <c r="A30" i="17"/>
  <c r="A29" i="17"/>
  <c r="A27" i="17"/>
  <c r="A26" i="17"/>
  <c r="A25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B68" i="17"/>
  <c r="B67" i="17"/>
  <c r="B66" i="17"/>
  <c r="B65" i="17"/>
  <c r="B64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38" i="17"/>
  <c r="B37" i="17"/>
  <c r="B36" i="17"/>
  <c r="B35" i="17"/>
  <c r="B34" i="17"/>
  <c r="B33" i="17"/>
  <c r="B32" i="17"/>
  <c r="B31" i="17"/>
  <c r="B30" i="17"/>
  <c r="B29" i="17"/>
  <c r="B27" i="17"/>
  <c r="B26" i="17"/>
  <c r="B25" i="17"/>
  <c r="B23" i="17"/>
  <c r="B22" i="17"/>
  <c r="B21" i="17"/>
  <c r="B20" i="17"/>
  <c r="B19" i="17"/>
  <c r="B18" i="17"/>
  <c r="B17" i="17"/>
  <c r="B16" i="17"/>
  <c r="B15" i="17"/>
  <c r="B14" i="17"/>
  <c r="B12" i="17"/>
  <c r="B13" i="17"/>
  <c r="K23" i="17" l="1"/>
  <c r="K63" i="17"/>
  <c r="F63" i="17"/>
  <c r="M16" i="14"/>
  <c r="M17" i="14"/>
  <c r="C28" i="17"/>
  <c r="K31" i="17"/>
  <c r="K30" i="17"/>
  <c r="K29" i="17"/>
  <c r="K41" i="17"/>
  <c r="J41" i="17"/>
  <c r="I41" i="17"/>
  <c r="H41" i="17"/>
  <c r="G41" i="17"/>
  <c r="F41" i="17"/>
  <c r="C41" i="17"/>
  <c r="K61" i="17"/>
  <c r="I57" i="17"/>
  <c r="H57" i="17"/>
  <c r="G57" i="17"/>
  <c r="F57" i="17"/>
  <c r="J57" i="17"/>
  <c r="K60" i="17"/>
  <c r="K59" i="17"/>
  <c r="K58" i="17"/>
  <c r="K42" i="17"/>
  <c r="K68" i="17"/>
  <c r="K67" i="17"/>
  <c r="K66" i="17"/>
  <c r="K65" i="17"/>
  <c r="K64" i="17"/>
  <c r="C63" i="17"/>
  <c r="K16" i="17"/>
  <c r="K14" i="17"/>
  <c r="K13" i="17"/>
  <c r="K12" i="17"/>
  <c r="J11" i="17"/>
  <c r="J62" i="17" s="1"/>
  <c r="J69" i="17" s="1"/>
  <c r="I11" i="17"/>
  <c r="I62" i="17" s="1"/>
  <c r="I69" i="17" s="1"/>
  <c r="H11" i="17"/>
  <c r="H62" i="17" s="1"/>
  <c r="H69" i="17" s="1"/>
  <c r="C11" i="17"/>
  <c r="C24" i="17"/>
  <c r="K22" i="17"/>
  <c r="K72" i="14"/>
  <c r="K56" i="14" s="1"/>
  <c r="J72" i="14"/>
  <c r="L56" i="14"/>
  <c r="J56" i="14"/>
  <c r="I56" i="14"/>
  <c r="H56" i="14"/>
  <c r="E56" i="14"/>
  <c r="D56" i="14"/>
  <c r="C56" i="14"/>
  <c r="H52" i="14"/>
  <c r="K52" i="14"/>
  <c r="L52" i="14"/>
  <c r="M55" i="14"/>
  <c r="M54" i="14"/>
  <c r="M53" i="14"/>
  <c r="M52" i="14"/>
  <c r="M51" i="14"/>
  <c r="M50" i="14"/>
  <c r="M49" i="14"/>
  <c r="L49" i="14"/>
  <c r="K49" i="14"/>
  <c r="J49" i="14"/>
  <c r="I49" i="14"/>
  <c r="H49" i="14"/>
  <c r="E49" i="14"/>
  <c r="D49" i="14"/>
  <c r="C49" i="14"/>
  <c r="M32" i="14"/>
  <c r="E32" i="14"/>
  <c r="L72" i="14" l="1"/>
  <c r="M74" i="14"/>
  <c r="M75" i="14"/>
  <c r="M73" i="14"/>
  <c r="C72" i="14"/>
  <c r="C66" i="14"/>
  <c r="M71" i="14"/>
  <c r="C69" i="14"/>
  <c r="M72" i="14" l="1"/>
  <c r="M56" i="14" s="1"/>
  <c r="F18" i="17"/>
  <c r="K18" i="17" s="1"/>
  <c r="K56" i="17"/>
  <c r="K55" i="17"/>
  <c r="K53" i="17"/>
  <c r="K52" i="17"/>
  <c r="K50" i="17"/>
  <c r="K49" i="17"/>
  <c r="K48" i="17"/>
  <c r="K47" i="17"/>
  <c r="K45" i="17"/>
  <c r="K44" i="17"/>
  <c r="K38" i="17"/>
  <c r="K37" i="17"/>
  <c r="K36" i="17"/>
  <c r="K35" i="17"/>
  <c r="K34" i="17"/>
  <c r="K33" i="17"/>
  <c r="K32" i="17"/>
  <c r="K27" i="17"/>
  <c r="K26" i="17"/>
  <c r="K25" i="17"/>
  <c r="K21" i="17"/>
  <c r="K20" i="17"/>
  <c r="K19" i="17"/>
  <c r="G63" i="17"/>
  <c r="H63" i="17"/>
  <c r="I63" i="17"/>
  <c r="J63" i="17"/>
  <c r="F39" i="17"/>
  <c r="F28" i="17"/>
  <c r="J54" i="17"/>
  <c r="I54" i="17"/>
  <c r="H54" i="17"/>
  <c r="G54" i="17"/>
  <c r="J51" i="17"/>
  <c r="I51" i="17"/>
  <c r="H51" i="17"/>
  <c r="G51" i="17"/>
  <c r="F51" i="17"/>
  <c r="J46" i="17"/>
  <c r="I46" i="17"/>
  <c r="H46" i="17"/>
  <c r="G46" i="17"/>
  <c r="F46" i="17"/>
  <c r="J43" i="17"/>
  <c r="I43" i="17"/>
  <c r="H43" i="17"/>
  <c r="G43" i="17"/>
  <c r="F43" i="17"/>
  <c r="J28" i="17"/>
  <c r="I28" i="17"/>
  <c r="H28" i="17"/>
  <c r="G28" i="17"/>
  <c r="J24" i="17"/>
  <c r="I24" i="17"/>
  <c r="H24" i="17"/>
  <c r="G24" i="17"/>
  <c r="F24" i="17"/>
  <c r="G17" i="17"/>
  <c r="G11" i="17" s="1"/>
  <c r="G62" i="17" s="1"/>
  <c r="G69" i="17" s="1"/>
  <c r="M36" i="14"/>
  <c r="M35" i="14"/>
  <c r="M34" i="14"/>
  <c r="E36" i="14"/>
  <c r="E35" i="14"/>
  <c r="E34" i="14"/>
  <c r="F15" i="17" l="1"/>
  <c r="L39" i="17"/>
  <c r="E33" i="14"/>
  <c r="M33" i="14"/>
  <c r="K17" i="17"/>
  <c r="L24" i="17"/>
  <c r="K43" i="17"/>
  <c r="K51" i="17"/>
  <c r="L28" i="17"/>
  <c r="K46" i="17"/>
  <c r="K54" i="17"/>
  <c r="K24" i="17"/>
  <c r="K28" i="17"/>
  <c r="F11" i="17" l="1"/>
  <c r="F62" i="17" s="1"/>
  <c r="F69" i="17" s="1"/>
  <c r="K69" i="17" s="1"/>
  <c r="K15" i="17"/>
  <c r="K11" i="17" s="1"/>
  <c r="K62" i="17" s="1"/>
  <c r="C62" i="17"/>
  <c r="H20" i="14"/>
  <c r="L61" i="14"/>
  <c r="C61" i="14"/>
  <c r="K61" i="14"/>
  <c r="J61" i="14"/>
  <c r="I61" i="14"/>
  <c r="L58" i="14"/>
  <c r="K58" i="14"/>
  <c r="J58" i="14"/>
  <c r="I58" i="14"/>
  <c r="H58" i="14"/>
  <c r="I45" i="14"/>
  <c r="J66" i="14"/>
  <c r="K69" i="14"/>
  <c r="L69" i="14"/>
  <c r="J69" i="14"/>
  <c r="I69" i="14"/>
  <c r="I66" i="14"/>
  <c r="K66" i="14"/>
  <c r="M18" i="14"/>
  <c r="L11" i="17" l="1"/>
  <c r="D11" i="17"/>
  <c r="D23" i="17"/>
  <c r="D41" i="17"/>
  <c r="C69" i="17"/>
  <c r="F70" i="17" s="1"/>
  <c r="D68" i="17"/>
  <c r="D64" i="17"/>
  <c r="D55" i="17"/>
  <c r="D47" i="17"/>
  <c r="D35" i="17"/>
  <c r="D31" i="17"/>
  <c r="D27" i="17"/>
  <c r="D22" i="17"/>
  <c r="D18" i="17"/>
  <c r="D14" i="17"/>
  <c r="D67" i="17"/>
  <c r="D50" i="17"/>
  <c r="D42" i="17"/>
  <c r="D38" i="17"/>
  <c r="D34" i="17"/>
  <c r="D30" i="17"/>
  <c r="D26" i="17"/>
  <c r="D21" i="17"/>
  <c r="D17" i="17"/>
  <c r="D13" i="17"/>
  <c r="D66" i="17"/>
  <c r="D62" i="17"/>
  <c r="D57" i="17"/>
  <c r="D53" i="17"/>
  <c r="D49" i="17"/>
  <c r="D45" i="17"/>
  <c r="D37" i="17"/>
  <c r="D33" i="17"/>
  <c r="D29" i="17"/>
  <c r="D25" i="17"/>
  <c r="D20" i="17"/>
  <c r="D16" i="17"/>
  <c r="D12" i="17"/>
  <c r="D65" i="17"/>
  <c r="D56" i="17"/>
  <c r="D61" i="17"/>
  <c r="D44" i="17"/>
  <c r="D52" i="17"/>
  <c r="D36" i="17"/>
  <c r="D19" i="17"/>
  <c r="D48" i="17"/>
  <c r="D32" i="17"/>
  <c r="D46" i="17"/>
  <c r="D58" i="17"/>
  <c r="D15" i="17"/>
  <c r="D63" i="17"/>
  <c r="D51" i="17"/>
  <c r="D39" i="17"/>
  <c r="D43" i="17"/>
  <c r="D60" i="17"/>
  <c r="D28" i="17"/>
  <c r="D24" i="17"/>
  <c r="D54" i="17"/>
  <c r="D59" i="17"/>
  <c r="M69" i="14"/>
  <c r="E62" i="17" l="1"/>
  <c r="E23" i="17"/>
  <c r="H70" i="17"/>
  <c r="I70" i="17"/>
  <c r="G70" i="17"/>
  <c r="C70" i="17"/>
  <c r="E67" i="17"/>
  <c r="E50" i="17"/>
  <c r="E42" i="17"/>
  <c r="E38" i="17"/>
  <c r="E34" i="17"/>
  <c r="E30" i="17"/>
  <c r="E26" i="17"/>
  <c r="E21" i="17"/>
  <c r="E17" i="17"/>
  <c r="E13" i="17"/>
  <c r="E66" i="17"/>
  <c r="E57" i="17"/>
  <c r="E53" i="17"/>
  <c r="E49" i="17"/>
  <c r="E45" i="17"/>
  <c r="E37" i="17"/>
  <c r="E33" i="17"/>
  <c r="E29" i="17"/>
  <c r="E25" i="17"/>
  <c r="E20" i="17"/>
  <c r="E16" i="17"/>
  <c r="E12" i="17"/>
  <c r="E65" i="17"/>
  <c r="E56" i="17"/>
  <c r="E52" i="17"/>
  <c r="E48" i="17"/>
  <c r="E44" i="17"/>
  <c r="E61" i="17"/>
  <c r="E36" i="17"/>
  <c r="E19" i="17"/>
  <c r="E32" i="17"/>
  <c r="E64" i="17"/>
  <c r="E47" i="17"/>
  <c r="E31" i="17"/>
  <c r="E14" i="17"/>
  <c r="E22" i="17"/>
  <c r="E68" i="17"/>
  <c r="E35" i="17"/>
  <c r="E27" i="17"/>
  <c r="E55" i="17"/>
  <c r="E18" i="17"/>
  <c r="E46" i="17"/>
  <c r="E58" i="17"/>
  <c r="E15" i="17"/>
  <c r="E63" i="17"/>
  <c r="E59" i="17"/>
  <c r="E60" i="17"/>
  <c r="E28" i="17"/>
  <c r="E24" i="17"/>
  <c r="E54" i="17"/>
  <c r="E51" i="17"/>
  <c r="E39" i="17"/>
  <c r="E43" i="17"/>
  <c r="E41" i="17"/>
  <c r="E11" i="17"/>
  <c r="C71" i="17"/>
  <c r="E69" i="17" l="1"/>
  <c r="E74" i="14"/>
  <c r="M29" i="14" l="1"/>
  <c r="D33" i="14" l="1"/>
  <c r="E57" i="14"/>
  <c r="M28" i="14"/>
  <c r="E28" i="14"/>
  <c r="I24" i="14"/>
  <c r="M23" i="14"/>
  <c r="E23" i="14"/>
  <c r="E18" i="14"/>
  <c r="L20" i="14"/>
  <c r="K20" i="14"/>
  <c r="J20" i="14"/>
  <c r="I20" i="14"/>
  <c r="M22" i="14"/>
  <c r="E22" i="14"/>
  <c r="M21" i="14"/>
  <c r="E21" i="14"/>
  <c r="E20" i="14"/>
  <c r="M20" i="14" l="1"/>
  <c r="C19" i="14"/>
  <c r="I33" i="14"/>
  <c r="M76" i="14"/>
  <c r="E55" i="14"/>
  <c r="L13" i="14"/>
  <c r="L11" i="14" s="1"/>
  <c r="M57" i="14" l="1"/>
  <c r="E19" i="14"/>
  <c r="H19" i="14"/>
  <c r="M19" i="14" s="1"/>
  <c r="I37" i="14" l="1"/>
  <c r="L78" i="14"/>
  <c r="K78" i="14"/>
  <c r="J78" i="14"/>
  <c r="I78" i="14"/>
  <c r="H78" i="14"/>
  <c r="L45" i="14"/>
  <c r="L37" i="14" s="1"/>
  <c r="K45" i="14"/>
  <c r="K37" i="14" s="1"/>
  <c r="J45" i="14"/>
  <c r="J37" i="14" s="1"/>
  <c r="H45" i="14"/>
  <c r="H37" i="14" s="1"/>
  <c r="I25" i="14"/>
  <c r="H25" i="14"/>
  <c r="I13" i="14"/>
  <c r="J13" i="14"/>
  <c r="J11" i="14" s="1"/>
  <c r="K13" i="14"/>
  <c r="K11" i="14" s="1"/>
  <c r="H13" i="14"/>
  <c r="H11" i="14" s="1"/>
  <c r="D69" i="14"/>
  <c r="L66" i="14"/>
  <c r="H66" i="14"/>
  <c r="D66" i="14"/>
  <c r="H61" i="14"/>
  <c r="M61" i="14" s="1"/>
  <c r="D61" i="14"/>
  <c r="D58" i="14"/>
  <c r="C58" i="14"/>
  <c r="J52" i="14"/>
  <c r="I52" i="14"/>
  <c r="D45" i="14"/>
  <c r="D37" i="14" s="1"/>
  <c r="C45" i="14"/>
  <c r="C37" i="14" s="1"/>
  <c r="D25" i="14"/>
  <c r="I11" i="14" l="1"/>
  <c r="M13" i="14"/>
  <c r="M45" i="14"/>
  <c r="M65" i="14" l="1"/>
  <c r="M26" i="14"/>
  <c r="M25" i="14"/>
  <c r="K33" i="14"/>
  <c r="M31" i="14"/>
  <c r="E88" i="14"/>
  <c r="M83" i="14"/>
  <c r="E83" i="14"/>
  <c r="M82" i="14"/>
  <c r="E82" i="14"/>
  <c r="M81" i="14"/>
  <c r="E81" i="14"/>
  <c r="M80" i="14"/>
  <c r="E80" i="14"/>
  <c r="M79" i="14"/>
  <c r="E79" i="14"/>
  <c r="D78" i="14"/>
  <c r="C78" i="14"/>
  <c r="E65" i="14"/>
  <c r="E71" i="14"/>
  <c r="M70" i="14"/>
  <c r="E70" i="14"/>
  <c r="E68" i="14"/>
  <c r="E67" i="14"/>
  <c r="E66" i="14"/>
  <c r="M64" i="14"/>
  <c r="E64" i="14"/>
  <c r="E63" i="14"/>
  <c r="M62" i="14"/>
  <c r="E62" i="14"/>
  <c r="E60" i="14"/>
  <c r="M59" i="14"/>
  <c r="E59" i="14"/>
  <c r="E58" i="14"/>
  <c r="E76" i="14"/>
  <c r="E54" i="14"/>
  <c r="E53" i="14"/>
  <c r="D52" i="14"/>
  <c r="C52" i="14"/>
  <c r="E51" i="14"/>
  <c r="E50" i="14"/>
  <c r="M47" i="14"/>
  <c r="E47" i="14"/>
  <c r="M46" i="14"/>
  <c r="E46" i="14"/>
  <c r="M39" i="14"/>
  <c r="E39" i="14"/>
  <c r="M41" i="14"/>
  <c r="E41" i="14"/>
  <c r="M48" i="14"/>
  <c r="E48" i="14"/>
  <c r="M40" i="14"/>
  <c r="E40" i="14"/>
  <c r="M44" i="14"/>
  <c r="E44" i="14"/>
  <c r="M43" i="14"/>
  <c r="E43" i="14"/>
  <c r="M42" i="14"/>
  <c r="E42" i="14"/>
  <c r="M38" i="14"/>
  <c r="E38" i="14"/>
  <c r="L33" i="14"/>
  <c r="L77" i="14" s="1"/>
  <c r="J33" i="14"/>
  <c r="H33" i="14"/>
  <c r="H77" i="14" s="1"/>
  <c r="C33" i="14"/>
  <c r="M30" i="14"/>
  <c r="E30" i="14"/>
  <c r="E31" i="14"/>
  <c r="M27" i="14"/>
  <c r="E27" i="14"/>
  <c r="E26" i="14"/>
  <c r="C25" i="14"/>
  <c r="M24" i="14"/>
  <c r="E24" i="14"/>
  <c r="M15" i="14"/>
  <c r="E15" i="14"/>
  <c r="M14" i="14"/>
  <c r="E14" i="14"/>
  <c r="D13" i="14"/>
  <c r="C13" i="14"/>
  <c r="C11" i="14" s="1"/>
  <c r="E17" i="14"/>
  <c r="E16" i="14"/>
  <c r="M12" i="14"/>
  <c r="E12" i="14"/>
  <c r="D11" i="14" l="1"/>
  <c r="D77" i="14" s="1"/>
  <c r="D84" i="14" s="1"/>
  <c r="D86" i="14" s="1"/>
  <c r="M78" i="14"/>
  <c r="M37" i="14"/>
  <c r="M60" i="14"/>
  <c r="M58" i="14"/>
  <c r="K77" i="14"/>
  <c r="K84" i="14" s="1"/>
  <c r="M68" i="14"/>
  <c r="E78" i="14"/>
  <c r="E69" i="14"/>
  <c r="E25" i="14"/>
  <c r="E13" i="14"/>
  <c r="E52" i="14"/>
  <c r="E61" i="14"/>
  <c r="E45" i="14"/>
  <c r="E37" i="14" s="1"/>
  <c r="L84" i="14"/>
  <c r="E11" i="14" l="1"/>
  <c r="M63" i="14"/>
  <c r="M11" i="14"/>
  <c r="M67" i="14"/>
  <c r="H84" i="14"/>
  <c r="J77" i="14" l="1"/>
  <c r="J84" i="14" s="1"/>
  <c r="M66" i="14"/>
  <c r="I77" i="14" l="1"/>
  <c r="I84" i="14" s="1"/>
  <c r="M84" i="14" s="1"/>
  <c r="M77" i="14" l="1"/>
  <c r="E75" i="14"/>
  <c r="E73" i="14"/>
  <c r="E72" i="14"/>
  <c r="C77" i="14" l="1"/>
  <c r="C84" i="14" s="1"/>
  <c r="C86" i="14" s="1"/>
  <c r="E77" i="14" l="1"/>
  <c r="F49" i="14" s="1"/>
  <c r="F32" i="14" l="1"/>
  <c r="F57" i="14"/>
  <c r="F52" i="14"/>
  <c r="F59" i="14"/>
  <c r="F17" i="14"/>
  <c r="F31" i="14"/>
  <c r="F22" i="14"/>
  <c r="F54" i="14"/>
  <c r="F43" i="14"/>
  <c r="F42" i="14"/>
  <c r="F29" i="14"/>
  <c r="F35" i="14"/>
  <c r="F26" i="14"/>
  <c r="F67" i="14"/>
  <c r="F44" i="14"/>
  <c r="F12" i="14"/>
  <c r="F70" i="14"/>
  <c r="F45" i="14"/>
  <c r="F23" i="14"/>
  <c r="F34" i="14"/>
  <c r="F37" i="14"/>
  <c r="F53" i="14"/>
  <c r="F18" i="14"/>
  <c r="F64" i="14"/>
  <c r="F71" i="14"/>
  <c r="F56" i="14"/>
  <c r="F51" i="14"/>
  <c r="F24" i="14"/>
  <c r="F20" i="14"/>
  <c r="F30" i="14"/>
  <c r="F33" i="14"/>
  <c r="F19" i="14"/>
  <c r="F36" i="14"/>
  <c r="F69" i="14"/>
  <c r="F39" i="14"/>
  <c r="F74" i="14"/>
  <c r="F75" i="14"/>
  <c r="F21" i="14"/>
  <c r="F41" i="14"/>
  <c r="F62" i="14"/>
  <c r="F58" i="14"/>
  <c r="F61" i="14"/>
  <c r="F27" i="14"/>
  <c r="F40" i="14"/>
  <c r="F63" i="14"/>
  <c r="F47" i="14"/>
  <c r="F66" i="14"/>
  <c r="E84" i="14"/>
  <c r="G49" i="14" s="1"/>
  <c r="F14" i="14"/>
  <c r="F48" i="14"/>
  <c r="F50" i="14"/>
  <c r="F77" i="14"/>
  <c r="F55" i="14"/>
  <c r="F68" i="14"/>
  <c r="F38" i="14"/>
  <c r="F73" i="14"/>
  <c r="F65" i="14"/>
  <c r="F60" i="14"/>
  <c r="F15" i="14"/>
  <c r="F13" i="14"/>
  <c r="F28" i="14"/>
  <c r="F11" i="14"/>
  <c r="F46" i="14"/>
  <c r="F72" i="14"/>
  <c r="F76" i="14"/>
  <c r="F16" i="14"/>
  <c r="F25" i="14"/>
  <c r="G74" i="14" l="1"/>
  <c r="C85" i="14"/>
  <c r="G26" i="14"/>
  <c r="G60" i="14"/>
  <c r="G78" i="14"/>
  <c r="G17" i="14"/>
  <c r="G27" i="14"/>
  <c r="G69" i="14"/>
  <c r="G47" i="14"/>
  <c r="K85" i="14"/>
  <c r="G51" i="14"/>
  <c r="G48" i="14"/>
  <c r="G44" i="14"/>
  <c r="G75" i="14"/>
  <c r="G63" i="14"/>
  <c r="G21" i="14"/>
  <c r="G58" i="14"/>
  <c r="G70" i="14"/>
  <c r="G34" i="14"/>
  <c r="G61" i="14"/>
  <c r="G68" i="14"/>
  <c r="G18" i="14"/>
  <c r="G19" i="14"/>
  <c r="G54" i="14"/>
  <c r="L85" i="14"/>
  <c r="G15" i="14"/>
  <c r="G67" i="14"/>
  <c r="G82" i="14"/>
  <c r="G83" i="14"/>
  <c r="G20" i="14"/>
  <c r="G39" i="14"/>
  <c r="G65" i="14"/>
  <c r="G33" i="14"/>
  <c r="G23" i="14"/>
  <c r="G35" i="14"/>
  <c r="G57" i="14"/>
  <c r="G64" i="14"/>
  <c r="G81" i="14"/>
  <c r="G11" i="14"/>
  <c r="G29" i="14"/>
  <c r="G45" i="14"/>
  <c r="G66" i="14"/>
  <c r="G30" i="14"/>
  <c r="G76" i="14"/>
  <c r="I85" i="14"/>
  <c r="G14" i="14"/>
  <c r="G22" i="14"/>
  <c r="G52" i="14"/>
  <c r="G16" i="14"/>
  <c r="G72" i="14"/>
  <c r="G62" i="14"/>
  <c r="G37" i="14"/>
  <c r="G12" i="14"/>
  <c r="E86" i="14"/>
  <c r="G73" i="14"/>
  <c r="G46" i="14"/>
  <c r="G24" i="14"/>
  <c r="G13" i="14"/>
  <c r="J85" i="14"/>
  <c r="G42" i="14"/>
  <c r="G80" i="14"/>
  <c r="G25" i="14"/>
  <c r="G38" i="14"/>
  <c r="G50" i="14"/>
  <c r="G32" i="14"/>
  <c r="G31" i="14"/>
  <c r="G41" i="14"/>
  <c r="G59" i="14"/>
  <c r="G71" i="14"/>
  <c r="D85" i="14"/>
  <c r="H85" i="14"/>
  <c r="G40" i="14"/>
  <c r="G53" i="14"/>
  <c r="G28" i="14"/>
  <c r="G56" i="14"/>
  <c r="G55" i="14"/>
  <c r="G79" i="14"/>
  <c r="G36" i="14"/>
  <c r="G43" i="14"/>
  <c r="G77" i="14"/>
  <c r="G84" i="14" l="1"/>
  <c r="E85" i="14"/>
  <c r="M85" i="14"/>
  <c r="K57" i="17"/>
  <c r="J70" i="17" l="1"/>
  <c r="K70" i="17" s="1"/>
  <c r="L41" i="17"/>
</calcChain>
</file>

<file path=xl/sharedStrings.xml><?xml version="1.0" encoding="utf-8"?>
<sst xmlns="http://schemas.openxmlformats.org/spreadsheetml/2006/main" count="196" uniqueCount="165">
  <si>
    <t>PROGRAMA NACIONAL DE DESENVOLVIMENTO DO TURISMO</t>
  </si>
  <si>
    <t>PRODETUR NACIONAL</t>
  </si>
  <si>
    <t>SERGIPE</t>
  </si>
  <si>
    <t>MATRIZ DE INVESTIMENTOS</t>
  </si>
  <si>
    <t>ITEM</t>
  </si>
  <si>
    <t>COMPONENTE</t>
  </si>
  <si>
    <t>Fonte Externa - BID (U$ mil)</t>
  </si>
  <si>
    <t>Contrapartida  Local (U$ mil)</t>
  </si>
  <si>
    <t>% em Relação ao Total</t>
  </si>
  <si>
    <t>% EM RELAÇÃO AO TOTAL</t>
  </si>
  <si>
    <t>1.1</t>
  </si>
  <si>
    <t>Complementação da sinalização turística da Cidade de Aracaju - 4ª etapa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</si>
  <si>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</si>
  <si>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</si>
  <si>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</si>
  <si>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</si>
  <si>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</si>
  <si>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</si>
  <si>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</si>
  <si>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</si>
  <si>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</si>
  <si>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</si>
  <si>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</si>
  <si>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</si>
  <si>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</si>
  <si>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Componente 3 - Fortalecimento Institucional</t>
  </si>
  <si>
    <t>3.1</t>
  </si>
  <si>
    <t>3.2</t>
  </si>
  <si>
    <t>4.1</t>
  </si>
  <si>
    <t>4.2</t>
  </si>
  <si>
    <t>4.3</t>
  </si>
  <si>
    <t>Desmonte do morro da piçarra para viabilizar ampliação da pista de pouso e decolagem (PPD) cabeceira 29</t>
  </si>
  <si>
    <t>4.4</t>
  </si>
  <si>
    <t>5.1</t>
  </si>
  <si>
    <t>5.2</t>
  </si>
  <si>
    <t>5.3</t>
  </si>
  <si>
    <t>5.4</t>
  </si>
  <si>
    <t>5.5</t>
  </si>
  <si>
    <t>5.6</t>
  </si>
  <si>
    <t>6.1</t>
  </si>
  <si>
    <t>Auditoria externa</t>
  </si>
  <si>
    <t>6.2</t>
  </si>
  <si>
    <t>6.3</t>
  </si>
  <si>
    <t>6.4</t>
  </si>
  <si>
    <t>6.5</t>
  </si>
  <si>
    <t>Publicações de aquisições</t>
  </si>
  <si>
    <t>Taxa de Cãmbio: US$ 1,00 = R$ 1,7713 (31.12.2007)</t>
  </si>
  <si>
    <t>5.2.1</t>
  </si>
  <si>
    <t>5.2.2</t>
  </si>
  <si>
    <t>5.3.1</t>
  </si>
  <si>
    <t>5.3.2</t>
  </si>
  <si>
    <t>5.5.1</t>
  </si>
  <si>
    <t>5.5.2</t>
  </si>
  <si>
    <t>1.7.1</t>
  </si>
  <si>
    <t>1.7.2</t>
  </si>
  <si>
    <t>Ano 1       (US$ mil)</t>
  </si>
  <si>
    <t>Ano 2       (US$ mil)</t>
  </si>
  <si>
    <t>Ano 3       (US$ mil)</t>
  </si>
  <si>
    <t>Ano 4       (US$ mil)</t>
  </si>
  <si>
    <t>Ano 5       (US$ mil)</t>
  </si>
  <si>
    <t>Total (US$)</t>
  </si>
  <si>
    <t>Execução do Plano de Marketing</t>
  </si>
  <si>
    <t>Monitoramento do Plano de Marketing</t>
  </si>
  <si>
    <t>3.3</t>
  </si>
  <si>
    <t>3.4</t>
  </si>
  <si>
    <t>3.5</t>
  </si>
  <si>
    <t>3.6</t>
  </si>
  <si>
    <t>3.7</t>
  </si>
  <si>
    <t>Implementação do fortalecimento institucional dos órgãos estaduais gestores de turismo</t>
  </si>
  <si>
    <t>Total do PRODETUR Nacional SERGIPE(1+2+3+4+5+6)</t>
  </si>
  <si>
    <t>Total dos Investimentos(1+2+3+4+5)</t>
  </si>
  <si>
    <t>DIFERENÇAS PARA CARTA CONSULTA US$</t>
  </si>
  <si>
    <t>4.3.1</t>
  </si>
  <si>
    <t>4.3.2</t>
  </si>
  <si>
    <t>Valor Total da Carta-Consulta em US$: 100.000.000,00</t>
  </si>
  <si>
    <t>% de Execução</t>
  </si>
  <si>
    <t>1.13</t>
  </si>
  <si>
    <t>2.3</t>
  </si>
  <si>
    <t>3.8</t>
  </si>
  <si>
    <t>3.9</t>
  </si>
  <si>
    <t>Reforma e aquisição de equipamentos da Galeria Ana Maria para instalação de nova sede da SETUR</t>
  </si>
  <si>
    <t>Reforma  da Galeria Ana Maria para instalação de nova sede da SETUR</t>
  </si>
  <si>
    <t>Aquisição de equipamentos da Galeria Ana Maria para instalação de nova sede da SETUR</t>
  </si>
  <si>
    <t>Elaboração do Projeto Executivo e Construção da Rodovia SE-405 Curralinho - Poço Redondo</t>
  </si>
  <si>
    <t>Elaboração do Projeto Executivo  da Rodovia SE-405 Curralinho - Poço Redondo</t>
  </si>
  <si>
    <t>Construção da Rodovia SE-405 Curralinho - Poço Redondo</t>
  </si>
  <si>
    <t>5.7</t>
  </si>
  <si>
    <t>Revisão e atualização do PDITS Costa dos Coqueirais e Velho Chico</t>
  </si>
  <si>
    <t>Elaboração do Plano de Gestão dos Destinos Turísticos</t>
  </si>
  <si>
    <t>Adequação da trilha do cangaço (abertura de trilha, sinalização, melhoria)</t>
  </si>
  <si>
    <t>Elaboração do Plano de Manejo da APA Litoral Norte</t>
  </si>
  <si>
    <t>5.3.3</t>
  </si>
  <si>
    <t>1.14</t>
  </si>
  <si>
    <t>Avaliações intermediárias e final do programa e sistema de monitormaento e avaliação de impacto do programa</t>
  </si>
  <si>
    <t>% em Relação ao Total (incluindo custos de administração)</t>
  </si>
  <si>
    <t>Taxa de Cãmbio: US$ 1,00 = R$ 1,93 Média dos últimos 12 meses em 07.12.2012</t>
  </si>
  <si>
    <t>Projetos Executivos e complementares para ampliação da pista de pouso e decolagem e novo terminal de passageiros do Aeroporto de Aracaju</t>
  </si>
  <si>
    <t>1.2.1</t>
  </si>
  <si>
    <t>1.2.2</t>
  </si>
  <si>
    <t>Estratégia de roteiros e produtos históricos culturais e adequação e modernização de museus (programação visual, equipamentos interativos, etc.)</t>
  </si>
  <si>
    <t>Estratégia de roteiros e produtos históricos culturais</t>
  </si>
  <si>
    <t>Adequação e modernização de museus (programação visual, equipamentos interativos, etc.)</t>
  </si>
  <si>
    <t>Construção do Centro de Referência do Cangaço (Poço Redondo - SE)</t>
  </si>
  <si>
    <t>1.10.1</t>
  </si>
  <si>
    <t>1.10.2</t>
  </si>
  <si>
    <t>1.15</t>
  </si>
  <si>
    <t>Elaboração dos Planos Diretores  municipais (Pirambu, Brejo Grande e Santana do São Francisco)</t>
  </si>
  <si>
    <t>3.8.1</t>
  </si>
  <si>
    <t>3.8.2</t>
  </si>
  <si>
    <t>Educação e Sensibilização Ambiental do Turista, entidades públicas e privadas e comunidades receptoras</t>
  </si>
  <si>
    <t>Manejo e Proteção Ambiental da Unidade de Conservação com uso turístico (Elaboração e implementação do plano de manejo da APA do litoral Norte e Plano de uso público do MONA Grota do Angico)</t>
  </si>
  <si>
    <t>Empresa Gerenciadora de Apoio a UCP</t>
  </si>
  <si>
    <t>Fiscalização e Supervisão de obras</t>
  </si>
  <si>
    <t>Financiamento de estudos de viabilidade socioeconômica, projetos básicos e executivos para o manejo de resíduos sólidos</t>
  </si>
  <si>
    <t>Financiamento de ações sociais e de fortalecimento institucional decorrente das ações dos Planos Intermunicipais</t>
  </si>
  <si>
    <t>Apoio à implementação dos Planos Intermunicipais de Resíduos Sólidos</t>
  </si>
  <si>
    <t>5.6.1</t>
  </si>
  <si>
    <t>5.6.2</t>
  </si>
  <si>
    <t>5.7.1</t>
  </si>
  <si>
    <t>5.7.2</t>
  </si>
  <si>
    <t>Elaboração da Política de Gerenciamento Costeiro do Estado</t>
  </si>
  <si>
    <t>Realização de Planos de Gestão Integrada dos munícipios costeiros</t>
  </si>
  <si>
    <t>5.7.3</t>
  </si>
  <si>
    <t>Apoio à elaboração de normas ambientais e treinamento para o controle e fiscalização de obras náuticas (marinas, piers, atracadouros), além de rodovias e saneamento, em parceria com a ADEMA</t>
  </si>
  <si>
    <t>Diagnóstico e Plano de Ação para Educação e Sensibilização Ambiental</t>
  </si>
  <si>
    <t>Implementação das ações de educação e sensibilização do turista, entidades e comunidades receptoras</t>
  </si>
  <si>
    <r>
      <t xml:space="preserve">Elaboração e Execução de planos de proteção e recuperação de áreas ambientais frágeis ou degradadas e elaboração de estudos ambientais - </t>
    </r>
    <r>
      <rPr>
        <u/>
        <sz val="12"/>
        <rFont val="Century Gothic"/>
        <family val="2"/>
      </rPr>
      <t>Rio Jacaré</t>
    </r>
  </si>
  <si>
    <r>
      <t xml:space="preserve">Elaboração e Execução de planos de proteção e recuperação de áreas ambientais frágeis ou degradadas e elaboração de estudos ambientais - </t>
    </r>
    <r>
      <rPr>
        <u/>
        <sz val="12"/>
        <rFont val="Century Gothic"/>
        <family val="2"/>
      </rPr>
      <t>Rio Betume</t>
    </r>
  </si>
  <si>
    <t>Fomento à qualidade do artesanato adequado à demanda turística</t>
  </si>
  <si>
    <t>Elaboração e implementação de projetos de valoriazação de atrativos e roteirização turística nos quatro destinos prioritários dos Polos Costa dos Coqueirais e Velho Chico</t>
  </si>
  <si>
    <t>Restauração Ecológica e Paisagística de áreas turísticas de alto valor natural e degradadas (Afluentes Jacaré e Betume do Rio e Foz do São Francisco)</t>
  </si>
  <si>
    <t>Administração do Programa</t>
  </si>
  <si>
    <t>Implementação das ações prioritárias do plano de manejo da APA do Litoral Norte</t>
  </si>
  <si>
    <t>Estudos de Avaliação de Limites de Mudanças aceitavéis y monitoreo do turismo em quatro áreas turísticas críticas (trilha do cangaço-Grota do Angico, Brejo grande, Litoral Norte e Indiaroba-Sta Luzia do Itanhy)</t>
  </si>
  <si>
    <t>25.03.2013</t>
  </si>
  <si>
    <t>Componente 5 - Gestão Ambiental</t>
  </si>
  <si>
    <t>Adequações turística e ambiental da rota natural e paisagística do APA Litoral Norte</t>
  </si>
  <si>
    <t>Elaboração do estudo de viabilidade turística (análise de paisagem) da ação de complementação da rota paisagística APA Litoral Norte</t>
  </si>
  <si>
    <t>Execução do Plano de Capacitação profissional e  empresarial para o Turismo</t>
  </si>
  <si>
    <t>Elaboração de projetos e execução da adequação urbanística e delimitações das praias do APA Litoral Sul</t>
  </si>
  <si>
    <t xml:space="preserve">Elaboração de projetos  da adequação urbanística e delimitações das praias do litoral sul </t>
  </si>
  <si>
    <t xml:space="preserve">Execução da adequação urbanística e delimitações das praias do litoral sul </t>
  </si>
  <si>
    <t>Revisão e complementação do Plano de Marketing</t>
  </si>
  <si>
    <t>Implementação do planos de fortalecimento de gestão municipal do turismo</t>
  </si>
  <si>
    <t>Sistema de gerenciamento integral do Programa</t>
  </si>
  <si>
    <t>Programa de comunicación y participación de población local y vulnerable en el programa. Otras acoes de apoio à prevenção da impactos negativos indirectos del turismo</t>
  </si>
  <si>
    <t>Elaboração e implementacao do Plano de Uso público para a Monumento Natural Grota do Angico</t>
  </si>
  <si>
    <t>Planeamiento costeiro</t>
  </si>
  <si>
    <t>Total ( U$ mil)</t>
  </si>
  <si>
    <t>Implantação do sistema de informações turísticas (inventariação turística, estudos e pesquisas de demanda, oferta, dados socioeconômicos do turismo) para turismo sol e praia, turismo cultural e ecoturismo.</t>
  </si>
  <si>
    <t>Elaboração de diagnósticos e planos da gestão municipal do turismo e incentivos para fiscalização</t>
  </si>
  <si>
    <t>25.01.2013</t>
  </si>
  <si>
    <t>Estudos de inclusão social em turismo; diagnóstico e plano de incentivos a la formalização; e assistência técnica a empresas turísticas para melhoria da qualidade dos serviços, gestão ambiental e responsabilidade social</t>
  </si>
  <si>
    <t>Ninguno</t>
  </si>
  <si>
    <t>Componente 4 - Conectividad de apoyo al turismo</t>
  </si>
  <si>
    <t>Componente 2 - Promocion turistica</t>
  </si>
  <si>
    <t>Componente 1 - Produto Turístico socialmente inclusivo</t>
  </si>
  <si>
    <t>Elaboração de projeto e execução da sinalização turistica e interpretativa para destinos turísticos (Polos Costa dos Coqueirais e Velho Chico)</t>
  </si>
  <si>
    <t xml:space="preserve">Elaboração de projeto </t>
  </si>
  <si>
    <t>Execução do projeto</t>
  </si>
  <si>
    <t>Revitalização do Complexo Turístico SE, compreendendo inclusive o Museu do Artesanato e o Centro de Informações Turísticas</t>
  </si>
  <si>
    <t>Obras para roteiros de ecoturismo no Rio São Francisco e Costa marítima atendida pelo programa.</t>
  </si>
  <si>
    <t>Estudo y estrategia de circuitos de ecoturismo no Rio São Francisco e Costa marítima atendida pelo programa.</t>
  </si>
  <si>
    <t>Implantação de sistema de esgotamento sanitário em puntos turisticos clave em la costa: Crasto (Sta. Luzia do Itanhy), Pontal (Indiaroba), Prainha (Canindé de São Francisco)</t>
  </si>
  <si>
    <t>Otras obras de adecuación y mejora de infraestructura de acceso a atractivos turísticos prioritarias en los Polos, en consistencia con los PDITS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</si>
</sst>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-[$$-409]* #,##0.00_ ;_-[$$-409]* \-#,##0.00\ ;_-[$$-409]* &quot;-&quot;??_ ;_-@_ "/>
    <numFmt numFmtId="166" formatCode="#,##0.000000"/>
    <numFmt numFmtId="167" formatCode="_(* #,##0.00_);_(* \(#,##0.00\);_(* \-??_);_(@_)"/>
    <numFmt numFmtId="168" formatCode="0.000"/>
  </numFmts>
  <fonts count="2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2"/>
      <color indexed="9"/>
      <name val="Century Gothic"/>
      <family val="2"/>
    </font>
    <font>
      <sz val="9"/>
      <name val="Century Gothic"/>
      <family val="2"/>
    </font>
    <font>
      <sz val="9"/>
      <name val="Arial"/>
      <family val="2"/>
    </font>
    <font>
      <b/>
      <sz val="16"/>
      <name val="Century Gothic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theme="0"/>
      <name val="Century Gothic"/>
      <family val="2"/>
    </font>
    <font>
      <b/>
      <sz val="16"/>
      <name val="Arial"/>
      <family val="2"/>
    </font>
    <font>
      <sz val="16"/>
      <name val="Century Gothic"/>
      <family val="2"/>
    </font>
    <font>
      <u/>
      <sz val="12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rgb="FF1F497D"/>
      <name val="Symbol"/>
      <family val="1"/>
      <charset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38"/>
      </patternFill>
    </fill>
    <fill>
      <patternFill patternType="solid">
        <fgColor theme="3"/>
        <bgColor indexed="13"/>
      </patternFill>
    </fill>
    <fill>
      <patternFill patternType="solid">
        <fgColor theme="3"/>
        <bgColor indexed="51"/>
      </patternFill>
    </fill>
    <fill>
      <patternFill patternType="solid">
        <fgColor theme="3"/>
        <bgColor indexed="52"/>
      </patternFill>
    </fill>
    <fill>
      <patternFill patternType="solid">
        <fgColor theme="3"/>
        <bgColor indexed="36"/>
      </patternFill>
    </fill>
    <fill>
      <patternFill patternType="solid">
        <fgColor theme="2"/>
        <bgColor indexed="32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32"/>
      </patternFill>
    </fill>
    <fill>
      <patternFill patternType="solid">
        <fgColor rgb="FFFF0000"/>
        <bgColor indexed="32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2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" fillId="0" borderId="0">
      <alignment vertical="center"/>
    </xf>
    <xf numFmtId="167" fontId="2" fillId="0" borderId="0" applyFill="0" applyBorder="0" applyProtection="0">
      <alignment vertical="center"/>
    </xf>
  </cellStyleXfs>
  <cellXfs count="11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2" borderId="0" xfId="0" applyFont="1" applyFill="1"/>
    <xf numFmtId="0" fontId="9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6" fillId="4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4" borderId="1" xfId="0" applyFont="1" applyFill="1" applyBorder="1" applyAlignment="1">
      <alignment horizontal="right" vertical="center" wrapText="1"/>
    </xf>
    <xf numFmtId="0" fontId="5" fillId="4" borderId="0" xfId="0" applyFont="1" applyFill="1"/>
    <xf numFmtId="0" fontId="8" fillId="8" borderId="1" xfId="0" applyFont="1" applyFill="1" applyBorder="1" applyAlignment="1">
      <alignment horizontal="left" vertical="center" wrapText="1"/>
    </xf>
    <xf numFmtId="4" fontId="8" fillId="8" borderId="1" xfId="0" applyNumberFormat="1" applyFont="1" applyFill="1" applyBorder="1" applyAlignment="1">
      <alignment horizontal="center" vertical="center" wrapText="1"/>
    </xf>
    <xf numFmtId="4" fontId="8" fillId="9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left" vertical="center" wrapText="1"/>
    </xf>
    <xf numFmtId="4" fontId="8" fillId="10" borderId="1" xfId="0" applyNumberFormat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left" vertical="center" wrapText="1"/>
    </xf>
    <xf numFmtId="4" fontId="8" fillId="11" borderId="1" xfId="0" applyNumberFormat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left" vertical="center" wrapText="1"/>
    </xf>
    <xf numFmtId="4" fontId="8" fillId="12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2" fillId="15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4" fontId="15" fillId="16" borderId="1" xfId="0" applyNumberFormat="1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 vertical="center" wrapText="1"/>
    </xf>
    <xf numFmtId="4" fontId="1" fillId="13" borderId="1" xfId="0" applyNumberFormat="1" applyFont="1" applyFill="1" applyBorder="1" applyAlignment="1">
      <alignment horizontal="center" vertical="center" wrapText="1"/>
    </xf>
    <xf numFmtId="10" fontId="8" fillId="9" borderId="1" xfId="3" applyNumberFormat="1" applyFont="1" applyFill="1" applyBorder="1" applyAlignment="1">
      <alignment horizontal="center" vertical="center" wrapText="1"/>
    </xf>
    <xf numFmtId="10" fontId="1" fillId="13" borderId="1" xfId="3" applyNumberFormat="1" applyFont="1" applyFill="1" applyBorder="1" applyAlignment="1">
      <alignment horizontal="center" vertical="center" wrapText="1"/>
    </xf>
    <xf numFmtId="10" fontId="15" fillId="16" borderId="1" xfId="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14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right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4" fontId="13" fillId="0" borderId="0" xfId="0" applyNumberFormat="1" applyFont="1" applyAlignment="1">
      <alignment horizontal="center"/>
    </xf>
    <xf numFmtId="10" fontId="1" fillId="0" borderId="1" xfId="0" applyNumberFormat="1" applyFont="1" applyFill="1" applyBorder="1" applyAlignment="1">
      <alignment horizontal="center" vertical="center" wrapText="1"/>
    </xf>
    <xf numFmtId="10" fontId="1" fillId="6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9" fontId="1" fillId="13" borderId="1" xfId="0" applyNumberFormat="1" applyFont="1" applyFill="1" applyBorder="1" applyAlignment="1">
      <alignment horizontal="center" vertical="center" wrapText="1"/>
    </xf>
    <xf numFmtId="10" fontId="13" fillId="6" borderId="1" xfId="0" applyNumberFormat="1" applyFont="1" applyFill="1" applyBorder="1" applyAlignment="1">
      <alignment horizontal="center" vertical="center" wrapText="1"/>
    </xf>
    <xf numFmtId="166" fontId="17" fillId="0" borderId="0" xfId="0" applyNumberFormat="1" applyFont="1" applyAlignment="1">
      <alignment horizontal="center"/>
    </xf>
    <xf numFmtId="4" fontId="13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4" fontId="1" fillId="4" borderId="1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6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10" fontId="20" fillId="0" borderId="0" xfId="0" applyNumberFormat="1" applyFont="1" applyAlignment="1">
      <alignment horizontal="center" vertical="center"/>
    </xf>
    <xf numFmtId="168" fontId="5" fillId="0" borderId="0" xfId="0" applyNumberFormat="1" applyFont="1" applyFill="1"/>
    <xf numFmtId="4" fontId="11" fillId="0" borderId="0" xfId="0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1" fillId="18" borderId="1" xfId="0" applyNumberFormat="1" applyFont="1" applyFill="1" applyBorder="1" applyAlignment="1">
      <alignment horizontal="center" vertical="center" wrapText="1"/>
    </xf>
    <xf numFmtId="4" fontId="13" fillId="18" borderId="1" xfId="0" applyNumberFormat="1" applyFont="1" applyFill="1" applyBorder="1" applyAlignment="1">
      <alignment horizontal="center" vertical="center" wrapText="1"/>
    </xf>
    <xf numFmtId="4" fontId="6" fillId="18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indent="8"/>
    </xf>
    <xf numFmtId="4" fontId="1" fillId="19" borderId="1" xfId="0" applyNumberFormat="1" applyFont="1" applyFill="1" applyBorder="1" applyAlignment="1">
      <alignment horizontal="center" vertical="center" wrapText="1"/>
    </xf>
    <xf numFmtId="4" fontId="13" fillId="19" borderId="1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/>
    <xf numFmtId="2" fontId="1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vertical="center" wrapText="1"/>
    </xf>
    <xf numFmtId="165" fontId="7" fillId="17" borderId="1" xfId="4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9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" fontId="13" fillId="0" borderId="1" xfId="0" applyNumberFormat="1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13" borderId="1" xfId="0" applyFont="1" applyFill="1" applyBorder="1" applyAlignment="1">
      <alignment horizontal="center" vertical="center" wrapText="1"/>
    </xf>
  </cellXfs>
  <cellStyles count="21">
    <cellStyle name="Currency" xfId="4" builtinId="4"/>
    <cellStyle name="Normal" xfId="0" builtinId="0"/>
    <cellStyle name="Normal 2" xfId="1"/>
    <cellStyle name="Normal 2 2" xfId="6"/>
    <cellStyle name="Normal 3" xfId="7"/>
    <cellStyle name="Normal 3 2" xfId="8"/>
    <cellStyle name="Normal 3 3" xfId="9"/>
    <cellStyle name="Normal 4" xfId="10"/>
    <cellStyle name="Normal 4 2" xfId="11"/>
    <cellStyle name="Normal 4 3" xfId="12"/>
    <cellStyle name="Normal 5" xfId="13"/>
    <cellStyle name="Normal 5 2" xfId="14"/>
    <cellStyle name="Normal 5 3" xfId="15"/>
    <cellStyle name="Normal 6" xfId="16"/>
    <cellStyle name="Normal 7" xfId="17"/>
    <cellStyle name="Normal 8" xfId="19"/>
    <cellStyle name="Percent" xfId="3" builtinId="5"/>
    <cellStyle name="Porcentagem 2" xfId="2"/>
    <cellStyle name="Separador de milhares 2" xfId="5"/>
    <cellStyle name="Título 5" xfId="18"/>
    <cellStyle name="Vírgula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19050</xdr:rowOff>
    </xdr:from>
    <xdr:to>
      <xdr:col>1</xdr:col>
      <xdr:colOff>1653268</xdr:colOff>
      <xdr:row>5</xdr:row>
      <xdr:rowOff>128939</xdr:rowOff>
    </xdr:to>
    <xdr:pic>
      <xdr:nvPicPr>
        <xdr:cNvPr id="2" name="Imagem 1" descr="LOGOTIPO_PRODETUR_SERGIPE_-_Arte_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9050"/>
          <a:ext cx="1680210" cy="123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438150</xdr:colOff>
      <xdr:row>0</xdr:row>
      <xdr:rowOff>104774</xdr:rowOff>
    </xdr:from>
    <xdr:to>
      <xdr:col>12</xdr:col>
      <xdr:colOff>1235529</xdr:colOff>
      <xdr:row>4</xdr:row>
      <xdr:rowOff>65377</xdr:rowOff>
    </xdr:to>
    <xdr:pic>
      <xdr:nvPicPr>
        <xdr:cNvPr id="3" name="Imagem 7" descr="BID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392650" y="104774"/>
          <a:ext cx="1790700" cy="821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2505075</xdr:colOff>
          <xdr:row>0</xdr:row>
          <xdr:rowOff>0</xdr:rowOff>
        </xdr:from>
        <xdr:to>
          <xdr:col>1</xdr:col>
          <xdr:colOff>2505075</xdr:colOff>
          <xdr:row>2</xdr:row>
          <xdr:rowOff>57150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19050</xdr:rowOff>
    </xdr:from>
    <xdr:to>
      <xdr:col>1</xdr:col>
      <xdr:colOff>1655990</xdr:colOff>
      <xdr:row>5</xdr:row>
      <xdr:rowOff>128939</xdr:rowOff>
    </xdr:to>
    <xdr:pic>
      <xdr:nvPicPr>
        <xdr:cNvPr id="2" name="Imagem 1" descr="LOGOTIPO_PRODETUR_SERGIPE_-_Arte_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9050"/>
          <a:ext cx="1657350" cy="1252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438150</xdr:colOff>
      <xdr:row>0</xdr:row>
      <xdr:rowOff>104774</xdr:rowOff>
    </xdr:from>
    <xdr:to>
      <xdr:col>10</xdr:col>
      <xdr:colOff>1085850</xdr:colOff>
      <xdr:row>4</xdr:row>
      <xdr:rowOff>65377</xdr:rowOff>
    </xdr:to>
    <xdr:pic>
      <xdr:nvPicPr>
        <xdr:cNvPr id="3" name="Imagem 7" descr="BID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20975" y="104774"/>
          <a:ext cx="1762125" cy="846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2505075</xdr:colOff>
          <xdr:row>0</xdr:row>
          <xdr:rowOff>0</xdr:rowOff>
        </xdr:from>
        <xdr:to>
          <xdr:col>1</xdr:col>
          <xdr:colOff>2505075</xdr:colOff>
          <xdr:row>2</xdr:row>
          <xdr:rowOff>57150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00"/>
  </sheetPr>
  <dimension ref="A1:P94"/>
  <sheetViews>
    <sheetView topLeftCell="A40" zoomScale="70" zoomScaleNormal="70" zoomScaleSheetLayoutView="51" workbookViewId="0">
      <selection activeCell="B55" sqref="B55"/>
    </sheetView>
  </sheetViews>
  <sheetFormatPr defaultRowHeight="12.75" x14ac:dyDescent="0.2"/>
  <cols>
    <col min="1" max="1" width="9.5703125" style="16" customWidth="1"/>
    <col min="2" max="2" width="64.85546875" style="9" customWidth="1"/>
    <col min="3" max="3" width="21" customWidth="1"/>
    <col min="4" max="4" width="18" style="10" customWidth="1"/>
    <col min="5" max="5" width="17" style="10" customWidth="1"/>
    <col min="6" max="6" width="11" style="10" customWidth="1"/>
    <col min="7" max="7" width="14.140625" style="10" customWidth="1"/>
    <col min="8" max="10" width="16.7109375" style="10" customWidth="1"/>
    <col min="11" max="11" width="14.7109375" style="10" customWidth="1"/>
    <col min="12" max="12" width="14.42578125" style="10" customWidth="1"/>
    <col min="13" max="13" width="19.85546875" customWidth="1"/>
  </cols>
  <sheetData>
    <row r="1" spans="1:13" s="1" customFormat="1" ht="18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s="1" customFormat="1" ht="18" x14ac:dyDescent="0.2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s="1" customFormat="1" ht="18" x14ac:dyDescent="0.2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s="1" customFormat="1" ht="15.75" x14ac:dyDescent="0.25">
      <c r="A4" s="47"/>
      <c r="B4" s="64"/>
      <c r="C4" s="48"/>
      <c r="D4" s="49"/>
      <c r="E4" s="49"/>
      <c r="F4" s="49"/>
      <c r="G4" s="49"/>
      <c r="H4" s="69"/>
      <c r="I4" s="49"/>
      <c r="J4" s="49"/>
      <c r="K4" s="49"/>
      <c r="L4" s="49"/>
      <c r="M4" s="11"/>
    </row>
    <row r="5" spans="1:13" s="1" customFormat="1" ht="20.25" x14ac:dyDescent="0.3">
      <c r="A5" s="108" t="s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s="1" customFormat="1" ht="17.25" x14ac:dyDescent="0.3">
      <c r="A6" s="13"/>
      <c r="B6" s="65"/>
      <c r="D6" s="3"/>
      <c r="E6" s="2"/>
      <c r="F6" s="3"/>
      <c r="G6" s="3"/>
      <c r="H6" s="3"/>
      <c r="I6" s="3"/>
      <c r="J6" s="3"/>
      <c r="K6" s="109" t="s">
        <v>134</v>
      </c>
      <c r="L6" s="109"/>
    </row>
    <row r="7" spans="1:13" s="1" customFormat="1" ht="20.45" customHeight="1" x14ac:dyDescent="0.25">
      <c r="A7" s="106" t="s">
        <v>4</v>
      </c>
      <c r="B7" s="106" t="s">
        <v>5</v>
      </c>
      <c r="C7" s="106" t="s">
        <v>6</v>
      </c>
      <c r="D7" s="106" t="s">
        <v>7</v>
      </c>
      <c r="E7" s="106" t="s">
        <v>148</v>
      </c>
      <c r="F7" s="106" t="s">
        <v>8</v>
      </c>
      <c r="G7" s="106" t="s">
        <v>94</v>
      </c>
      <c r="H7" s="106" t="s">
        <v>55</v>
      </c>
      <c r="I7" s="106" t="s">
        <v>56</v>
      </c>
      <c r="J7" s="106" t="s">
        <v>57</v>
      </c>
      <c r="K7" s="106" t="s">
        <v>58</v>
      </c>
      <c r="L7" s="106" t="s">
        <v>59</v>
      </c>
      <c r="M7" s="106" t="s">
        <v>60</v>
      </c>
    </row>
    <row r="8" spans="1:13" s="1" customFormat="1" ht="20.45" customHeight="1" x14ac:dyDescent="0.2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s="1" customFormat="1" ht="20.45" customHeight="1" x14ac:dyDescent="0.25">
      <c r="A9" s="106"/>
      <c r="B9" s="106"/>
      <c r="C9" s="106"/>
      <c r="D9" s="106"/>
      <c r="E9" s="106"/>
      <c r="F9" s="106" t="s">
        <v>9</v>
      </c>
      <c r="G9" s="106" t="s">
        <v>9</v>
      </c>
      <c r="H9" s="106"/>
      <c r="I9" s="106"/>
      <c r="J9" s="106"/>
      <c r="K9" s="106"/>
      <c r="L9" s="106"/>
      <c r="M9" s="106"/>
    </row>
    <row r="10" spans="1:13" s="1" customFormat="1" ht="20.45" customHeight="1" x14ac:dyDescent="0.2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 s="18" customFormat="1" ht="36.6" customHeight="1" x14ac:dyDescent="0.25">
      <c r="A11" s="28">
        <v>1</v>
      </c>
      <c r="B11" s="28" t="s">
        <v>156</v>
      </c>
      <c r="C11" s="21">
        <f>SUM(C12:C13,C16:C20,C23:C25,C28:C29,C30:C32)</f>
        <v>27615.140276683942</v>
      </c>
      <c r="D11" s="21">
        <f>SUM(D12:D13,D16:D20,D23:D25,D28:D29,D30:D32)</f>
        <v>8613.5832652849822</v>
      </c>
      <c r="E11" s="21">
        <f>SUM(E12:E13,E16:E20,E23:E25,E28:E29,E30:E32)</f>
        <v>36228.723541968917</v>
      </c>
      <c r="F11" s="57">
        <f t="shared" ref="F11:F42" si="0">E11/$E$77</f>
        <v>0.3862469261652679</v>
      </c>
      <c r="G11" s="57">
        <f t="shared" ref="G11:G42" si="1">E11/$E$84</f>
        <v>0.36228723375654676</v>
      </c>
      <c r="H11" s="21">
        <f t="shared" ref="H11:M11" si="2">SUM(H12:H13,H16:H20,H23:H25,H28:H29,H30:H32)</f>
        <v>1793.9646165803108</v>
      </c>
      <c r="I11" s="21">
        <f t="shared" si="2"/>
        <v>2792.5854103626943</v>
      </c>
      <c r="J11" s="21">
        <f t="shared" si="2"/>
        <v>8610.84</v>
      </c>
      <c r="K11" s="21">
        <f t="shared" si="2"/>
        <v>13358.34</v>
      </c>
      <c r="L11" s="21">
        <f t="shared" si="2"/>
        <v>9680.99</v>
      </c>
      <c r="M11" s="21">
        <f t="shared" si="2"/>
        <v>36236.720026943003</v>
      </c>
    </row>
    <row r="12" spans="1:13" s="5" customFormat="1" ht="43.5" customHeight="1" x14ac:dyDescent="0.25">
      <c r="A12" s="34" t="s">
        <v>10</v>
      </c>
      <c r="B12" s="34" t="s">
        <v>11</v>
      </c>
      <c r="C12" s="39">
        <v>0</v>
      </c>
      <c r="D12" s="39">
        <v>548.09345077720195</v>
      </c>
      <c r="E12" s="40">
        <f t="shared" ref="E12:E28" si="3">C12+D12</f>
        <v>548.09345077720195</v>
      </c>
      <c r="F12" s="71">
        <f t="shared" si="0"/>
        <v>5.8434134553144576E-3</v>
      </c>
      <c r="G12" s="70">
        <f t="shared" si="1"/>
        <v>5.4809344826108391E-3</v>
      </c>
      <c r="H12" s="90">
        <v>365.39</v>
      </c>
      <c r="I12" s="90">
        <v>182.7</v>
      </c>
      <c r="J12" s="39">
        <v>0</v>
      </c>
      <c r="K12" s="39">
        <v>0</v>
      </c>
      <c r="L12" s="39">
        <v>0</v>
      </c>
      <c r="M12" s="42">
        <f t="shared" ref="M12:M15" si="4">SUM(H12:L12)</f>
        <v>548.08999999999992</v>
      </c>
    </row>
    <row r="13" spans="1:13" s="5" customFormat="1" ht="60.75" customHeight="1" x14ac:dyDescent="0.25">
      <c r="A13" s="35" t="s">
        <v>12</v>
      </c>
      <c r="B13" s="37" t="s">
        <v>157</v>
      </c>
      <c r="C13" s="39">
        <f>C14+C15</f>
        <v>0</v>
      </c>
      <c r="D13" s="39">
        <f>D14+D15</f>
        <v>3455.4898145077718</v>
      </c>
      <c r="E13" s="40">
        <f t="shared" si="3"/>
        <v>3455.4898145077718</v>
      </c>
      <c r="F13" s="71">
        <f t="shared" si="0"/>
        <v>3.6840169588168811E-2</v>
      </c>
      <c r="G13" s="70">
        <f t="shared" si="1"/>
        <v>3.4554897986447466E-2</v>
      </c>
      <c r="H13" s="90">
        <f>H14+H15</f>
        <v>183.55440414507774</v>
      </c>
      <c r="I13" s="90">
        <f t="shared" ref="I13:L13" si="5">I14+I15</f>
        <v>171.93541036269431</v>
      </c>
      <c r="J13" s="90">
        <f t="shared" si="5"/>
        <v>1550</v>
      </c>
      <c r="K13" s="90">
        <f t="shared" si="5"/>
        <v>1550</v>
      </c>
      <c r="L13" s="79">
        <f t="shared" si="5"/>
        <v>0</v>
      </c>
      <c r="M13" s="42">
        <f t="shared" si="4"/>
        <v>3455.4898145077723</v>
      </c>
    </row>
    <row r="14" spans="1:13" s="5" customFormat="1" ht="21.75" customHeight="1" x14ac:dyDescent="0.25">
      <c r="A14" s="32" t="s">
        <v>97</v>
      </c>
      <c r="B14" s="30" t="s">
        <v>158</v>
      </c>
      <c r="C14" s="29">
        <v>0</v>
      </c>
      <c r="D14" s="29">
        <v>355.489814507772</v>
      </c>
      <c r="E14" s="43">
        <f t="shared" si="3"/>
        <v>355.489814507772</v>
      </c>
      <c r="F14" s="74">
        <f t="shared" si="0"/>
        <v>3.7899996111545584E-3</v>
      </c>
      <c r="G14" s="72">
        <f t="shared" si="1"/>
        <v>3.5548981287583433E-3</v>
      </c>
      <c r="H14" s="91">
        <v>183.55440414507774</v>
      </c>
      <c r="I14" s="91">
        <v>171.93541036269431</v>
      </c>
      <c r="J14" s="76">
        <v>0</v>
      </c>
      <c r="K14" s="76">
        <v>0</v>
      </c>
      <c r="L14" s="76">
        <v>0</v>
      </c>
      <c r="M14" s="33">
        <f t="shared" si="4"/>
        <v>355.48981450777205</v>
      </c>
    </row>
    <row r="15" spans="1:13" s="5" customFormat="1" ht="24.75" customHeight="1" x14ac:dyDescent="0.25">
      <c r="A15" s="32" t="s">
        <v>98</v>
      </c>
      <c r="B15" s="30" t="s">
        <v>159</v>
      </c>
      <c r="C15" s="29">
        <v>0</v>
      </c>
      <c r="D15" s="29">
        <v>3100</v>
      </c>
      <c r="E15" s="43">
        <f t="shared" si="3"/>
        <v>3100</v>
      </c>
      <c r="F15" s="74">
        <f t="shared" si="0"/>
        <v>3.3050169977014252E-2</v>
      </c>
      <c r="G15" s="72">
        <f t="shared" si="1"/>
        <v>3.0999999857689121E-2</v>
      </c>
      <c r="H15" s="29">
        <v>0</v>
      </c>
      <c r="I15" s="29">
        <v>0</v>
      </c>
      <c r="J15" s="91">
        <v>1550</v>
      </c>
      <c r="K15" s="91">
        <v>1550</v>
      </c>
      <c r="L15" s="76">
        <v>0</v>
      </c>
      <c r="M15" s="33">
        <f t="shared" si="4"/>
        <v>3100</v>
      </c>
    </row>
    <row r="16" spans="1:13" s="5" customFormat="1" ht="37.5" customHeight="1" x14ac:dyDescent="0.25">
      <c r="A16" s="35" t="s">
        <v>13</v>
      </c>
      <c r="B16" s="36" t="s">
        <v>138</v>
      </c>
      <c r="C16" s="39">
        <v>2590.6799999999998</v>
      </c>
      <c r="D16" s="39">
        <v>0</v>
      </c>
      <c r="E16" s="40">
        <f t="shared" si="3"/>
        <v>2590.6799999999998</v>
      </c>
      <c r="F16" s="71">
        <f t="shared" si="0"/>
        <v>2.7620133663242348E-2</v>
      </c>
      <c r="G16" s="70">
        <f t="shared" si="1"/>
        <v>2.5906799881070339E-2</v>
      </c>
      <c r="H16" s="90">
        <v>150</v>
      </c>
      <c r="I16" s="90">
        <v>600</v>
      </c>
      <c r="J16" s="90">
        <v>600</v>
      </c>
      <c r="K16" s="90">
        <v>600</v>
      </c>
      <c r="L16" s="90">
        <v>648.67999999999995</v>
      </c>
      <c r="M16" s="42">
        <f>SUM(H16:L16)</f>
        <v>2598.6799999999998</v>
      </c>
    </row>
    <row r="17" spans="1:13" s="5" customFormat="1" ht="75" customHeight="1" x14ac:dyDescent="0.25">
      <c r="A17" s="35" t="s">
        <v>14</v>
      </c>
      <c r="B17" s="36" t="s">
        <v>152</v>
      </c>
      <c r="C17" s="39">
        <v>1000</v>
      </c>
      <c r="D17" s="39">
        <v>0</v>
      </c>
      <c r="E17" s="40">
        <f t="shared" si="3"/>
        <v>1000</v>
      </c>
      <c r="F17" s="71">
        <f t="shared" si="0"/>
        <v>1.0661345153875564E-2</v>
      </c>
      <c r="G17" s="70">
        <f t="shared" si="1"/>
        <v>9.9999999540932652E-3</v>
      </c>
      <c r="H17" s="90">
        <v>100</v>
      </c>
      <c r="I17" s="90">
        <v>300</v>
      </c>
      <c r="J17" s="90">
        <v>300</v>
      </c>
      <c r="K17" s="90">
        <v>200</v>
      </c>
      <c r="L17" s="90">
        <v>100</v>
      </c>
      <c r="M17" s="42">
        <f>SUM(H17:L17)</f>
        <v>1000</v>
      </c>
    </row>
    <row r="18" spans="1:13" s="5" customFormat="1" ht="36" customHeight="1" x14ac:dyDescent="0.25">
      <c r="A18" s="35" t="s">
        <v>15</v>
      </c>
      <c r="B18" s="45" t="s">
        <v>128</v>
      </c>
      <c r="C18" s="39">
        <v>500</v>
      </c>
      <c r="D18" s="39">
        <v>0</v>
      </c>
      <c r="E18" s="46">
        <f t="shared" si="3"/>
        <v>500</v>
      </c>
      <c r="F18" s="71">
        <f t="shared" si="0"/>
        <v>5.3306725769377821E-3</v>
      </c>
      <c r="G18" s="70">
        <f t="shared" si="1"/>
        <v>4.9999999770466326E-3</v>
      </c>
      <c r="H18" s="79">
        <v>0</v>
      </c>
      <c r="I18" s="90">
        <v>125</v>
      </c>
      <c r="J18" s="90">
        <v>125</v>
      </c>
      <c r="K18" s="90">
        <v>125</v>
      </c>
      <c r="L18" s="90">
        <v>125</v>
      </c>
      <c r="M18" s="42">
        <f>SUM(H18:L18)</f>
        <v>500</v>
      </c>
    </row>
    <row r="19" spans="1:13" s="5" customFormat="1" ht="54" customHeight="1" x14ac:dyDescent="0.25">
      <c r="A19" s="35" t="s">
        <v>16</v>
      </c>
      <c r="B19" s="36" t="s">
        <v>160</v>
      </c>
      <c r="C19" s="39">
        <f>569.38901/1.93</f>
        <v>295.02021243523313</v>
      </c>
      <c r="D19" s="39">
        <v>0</v>
      </c>
      <c r="E19" s="40">
        <f t="shared" si="3"/>
        <v>295.02021243523313</v>
      </c>
      <c r="F19" s="71">
        <f t="shared" si="0"/>
        <v>3.1453123121417126E-3</v>
      </c>
      <c r="G19" s="70">
        <f t="shared" si="1"/>
        <v>2.9502021108089166E-3</v>
      </c>
      <c r="H19" s="90">
        <f>C19</f>
        <v>295.02021243523313</v>
      </c>
      <c r="I19" s="79">
        <v>0</v>
      </c>
      <c r="J19" s="79">
        <v>0</v>
      </c>
      <c r="K19" s="79">
        <v>0</v>
      </c>
      <c r="L19" s="79">
        <v>0</v>
      </c>
      <c r="M19" s="42">
        <f t="shared" ref="M19" si="6">SUM(H19:L19)</f>
        <v>295.02021243523313</v>
      </c>
    </row>
    <row r="20" spans="1:13" s="5" customFormat="1" ht="65.25" customHeight="1" x14ac:dyDescent="0.25">
      <c r="A20" s="35" t="s">
        <v>17</v>
      </c>
      <c r="B20" s="45" t="s">
        <v>99</v>
      </c>
      <c r="C20" s="39">
        <v>155</v>
      </c>
      <c r="D20" s="39">
        <v>1200</v>
      </c>
      <c r="E20" s="46">
        <f t="shared" si="3"/>
        <v>1355</v>
      </c>
      <c r="F20" s="71">
        <f t="shared" si="0"/>
        <v>1.444612268350139E-2</v>
      </c>
      <c r="G20" s="70">
        <f t="shared" si="1"/>
        <v>1.3549999937796375E-2</v>
      </c>
      <c r="H20" s="79">
        <f>H21+H22</f>
        <v>0</v>
      </c>
      <c r="I20" s="90">
        <f t="shared" ref="I20:L20" si="7">I21+I22</f>
        <v>155</v>
      </c>
      <c r="J20" s="90">
        <f t="shared" si="7"/>
        <v>400</v>
      </c>
      <c r="K20" s="90">
        <f t="shared" si="7"/>
        <v>400</v>
      </c>
      <c r="L20" s="90">
        <f t="shared" si="7"/>
        <v>400</v>
      </c>
      <c r="M20" s="42">
        <f t="shared" ref="M20:M22" si="8">SUM(H20:L20)</f>
        <v>1355</v>
      </c>
    </row>
    <row r="21" spans="1:13" s="5" customFormat="1" ht="39" customHeight="1" x14ac:dyDescent="0.25">
      <c r="A21" s="32" t="s">
        <v>53</v>
      </c>
      <c r="B21" s="30" t="s">
        <v>100</v>
      </c>
      <c r="C21" s="29">
        <v>155</v>
      </c>
      <c r="D21" s="29">
        <v>0</v>
      </c>
      <c r="E21" s="43">
        <f t="shared" si="3"/>
        <v>155</v>
      </c>
      <c r="F21" s="74">
        <f t="shared" si="0"/>
        <v>1.6525084988507125E-3</v>
      </c>
      <c r="G21" s="72">
        <f t="shared" si="1"/>
        <v>1.5499999928844561E-3</v>
      </c>
      <c r="H21" s="76">
        <v>0</v>
      </c>
      <c r="I21" s="91">
        <v>155</v>
      </c>
      <c r="J21" s="76">
        <v>0</v>
      </c>
      <c r="K21" s="76">
        <v>0</v>
      </c>
      <c r="L21" s="76">
        <v>0</v>
      </c>
      <c r="M21" s="33">
        <f t="shared" si="8"/>
        <v>155</v>
      </c>
    </row>
    <row r="22" spans="1:13" s="5" customFormat="1" ht="39" customHeight="1" x14ac:dyDescent="0.25">
      <c r="A22" s="32" t="s">
        <v>54</v>
      </c>
      <c r="B22" s="30" t="s">
        <v>101</v>
      </c>
      <c r="C22" s="29">
        <v>0</v>
      </c>
      <c r="D22" s="29">
        <v>1200</v>
      </c>
      <c r="E22" s="43">
        <f t="shared" si="3"/>
        <v>1200</v>
      </c>
      <c r="F22" s="74">
        <f t="shared" si="0"/>
        <v>1.2793614184650678E-2</v>
      </c>
      <c r="G22" s="72">
        <f t="shared" si="1"/>
        <v>1.1999999944911919E-2</v>
      </c>
      <c r="H22" s="76">
        <v>0</v>
      </c>
      <c r="I22" s="76">
        <v>0</v>
      </c>
      <c r="J22" s="91">
        <v>400</v>
      </c>
      <c r="K22" s="91">
        <v>400</v>
      </c>
      <c r="L22" s="91">
        <v>400</v>
      </c>
      <c r="M22" s="33">
        <f t="shared" si="8"/>
        <v>1200</v>
      </c>
    </row>
    <row r="23" spans="1:13" s="5" customFormat="1" ht="30.75" customHeight="1" x14ac:dyDescent="0.25">
      <c r="A23" s="35" t="s">
        <v>18</v>
      </c>
      <c r="B23" s="38" t="s">
        <v>89</v>
      </c>
      <c r="C23" s="39">
        <v>0</v>
      </c>
      <c r="D23" s="39">
        <v>160</v>
      </c>
      <c r="E23" s="40">
        <f t="shared" si="3"/>
        <v>160</v>
      </c>
      <c r="F23" s="71">
        <f t="shared" si="0"/>
        <v>1.7058152246200904E-3</v>
      </c>
      <c r="G23" s="70">
        <f t="shared" si="1"/>
        <v>1.5999999926549224E-3</v>
      </c>
      <c r="H23" s="79">
        <v>0</v>
      </c>
      <c r="I23" s="90">
        <v>160</v>
      </c>
      <c r="J23" s="79">
        <v>0</v>
      </c>
      <c r="K23" s="79">
        <v>0</v>
      </c>
      <c r="L23" s="79">
        <v>0</v>
      </c>
      <c r="M23" s="53">
        <f t="shared" ref="M23" si="9">SUM(H23:L23)</f>
        <v>160</v>
      </c>
    </row>
    <row r="24" spans="1:13" s="6" customFormat="1" ht="33" customHeight="1" x14ac:dyDescent="0.25">
      <c r="A24" s="35" t="s">
        <v>19</v>
      </c>
      <c r="B24" s="38" t="s">
        <v>102</v>
      </c>
      <c r="C24" s="39">
        <v>705</v>
      </c>
      <c r="D24" s="39">
        <v>0</v>
      </c>
      <c r="E24" s="40">
        <f t="shared" si="3"/>
        <v>705</v>
      </c>
      <c r="F24" s="71">
        <f t="shared" si="0"/>
        <v>7.5162483334822736E-3</v>
      </c>
      <c r="G24" s="70">
        <f t="shared" si="1"/>
        <v>7.0499999676357523E-3</v>
      </c>
      <c r="H24" s="79">
        <v>0</v>
      </c>
      <c r="I24" s="90">
        <f>C24/2</f>
        <v>352.5</v>
      </c>
      <c r="J24" s="90">
        <v>352.5</v>
      </c>
      <c r="K24" s="79">
        <v>0</v>
      </c>
      <c r="L24" s="79">
        <v>0</v>
      </c>
      <c r="M24" s="53">
        <f t="shared" ref="M24:M31" si="10">SUM(H24:L24)</f>
        <v>705</v>
      </c>
    </row>
    <row r="25" spans="1:13" s="5" customFormat="1" ht="48" customHeight="1" x14ac:dyDescent="0.25">
      <c r="A25" s="35" t="s">
        <v>20</v>
      </c>
      <c r="B25" s="38" t="s">
        <v>139</v>
      </c>
      <c r="C25" s="39">
        <f>C26+C27</f>
        <v>6200</v>
      </c>
      <c r="D25" s="39">
        <f>D26+D27</f>
        <v>0</v>
      </c>
      <c r="E25" s="40">
        <f t="shared" si="3"/>
        <v>6200</v>
      </c>
      <c r="F25" s="71">
        <f t="shared" si="0"/>
        <v>6.6100339954028503E-2</v>
      </c>
      <c r="G25" s="70">
        <f t="shared" si="1"/>
        <v>6.1999999715378243E-2</v>
      </c>
      <c r="H25" s="90">
        <f>H26+H27</f>
        <v>100</v>
      </c>
      <c r="I25" s="90">
        <f>I26+I27</f>
        <v>100</v>
      </c>
      <c r="J25" s="90">
        <v>1500</v>
      </c>
      <c r="K25" s="90">
        <v>2500</v>
      </c>
      <c r="L25" s="90">
        <v>2000</v>
      </c>
      <c r="M25" s="42">
        <f>SUM(H25:L25)</f>
        <v>6200</v>
      </c>
    </row>
    <row r="26" spans="1:13" s="5" customFormat="1" ht="30.75" customHeight="1" x14ac:dyDescent="0.25">
      <c r="A26" s="41" t="s">
        <v>103</v>
      </c>
      <c r="B26" s="31" t="s">
        <v>140</v>
      </c>
      <c r="C26" s="29">
        <v>200</v>
      </c>
      <c r="D26" s="29">
        <v>0</v>
      </c>
      <c r="E26" s="43">
        <f t="shared" si="3"/>
        <v>200</v>
      </c>
      <c r="F26" s="74">
        <f t="shared" si="0"/>
        <v>2.1322690307751129E-3</v>
      </c>
      <c r="G26" s="72">
        <f t="shared" si="1"/>
        <v>1.999999990818653E-3</v>
      </c>
      <c r="H26" s="91">
        <v>100</v>
      </c>
      <c r="I26" s="91">
        <v>100</v>
      </c>
      <c r="J26" s="76">
        <v>0</v>
      </c>
      <c r="K26" s="76">
        <v>0</v>
      </c>
      <c r="L26" s="76">
        <v>0</v>
      </c>
      <c r="M26" s="33">
        <f t="shared" si="10"/>
        <v>200</v>
      </c>
    </row>
    <row r="27" spans="1:13" s="5" customFormat="1" ht="27" customHeight="1" x14ac:dyDescent="0.25">
      <c r="A27" s="41" t="s">
        <v>104</v>
      </c>
      <c r="B27" s="31" t="s">
        <v>141</v>
      </c>
      <c r="C27" s="29">
        <v>6000</v>
      </c>
      <c r="D27" s="29">
        <v>0</v>
      </c>
      <c r="E27" s="43">
        <f t="shared" si="3"/>
        <v>6000</v>
      </c>
      <c r="F27" s="74">
        <f t="shared" si="0"/>
        <v>6.3968070923253392E-2</v>
      </c>
      <c r="G27" s="72">
        <f t="shared" si="1"/>
        <v>5.9999999724559591E-2</v>
      </c>
      <c r="H27" s="76">
        <v>0</v>
      </c>
      <c r="I27" s="76">
        <v>0</v>
      </c>
      <c r="J27" s="91">
        <v>1000</v>
      </c>
      <c r="K27" s="91">
        <v>1000</v>
      </c>
      <c r="L27" s="91">
        <v>1000</v>
      </c>
      <c r="M27" s="33">
        <f t="shared" si="10"/>
        <v>3000</v>
      </c>
    </row>
    <row r="28" spans="1:13" s="5" customFormat="1" ht="54" customHeight="1" x14ac:dyDescent="0.25">
      <c r="A28" s="35" t="s">
        <v>21</v>
      </c>
      <c r="B28" s="62" t="s">
        <v>162</v>
      </c>
      <c r="C28" s="39">
        <v>173.21111347150259</v>
      </c>
      <c r="D28" s="39">
        <v>0</v>
      </c>
      <c r="E28" s="40">
        <f t="shared" si="3"/>
        <v>173.21111347150259</v>
      </c>
      <c r="F28" s="71">
        <f t="shared" si="0"/>
        <v>1.8466634652067947E-3</v>
      </c>
      <c r="G28" s="70">
        <f t="shared" si="1"/>
        <v>1.7321111267634692E-3</v>
      </c>
      <c r="H28" s="79">
        <v>0</v>
      </c>
      <c r="I28" s="90">
        <v>173.21</v>
      </c>
      <c r="J28" s="79">
        <v>0</v>
      </c>
      <c r="K28" s="79">
        <v>0</v>
      </c>
      <c r="L28" s="79">
        <v>0</v>
      </c>
      <c r="M28" s="42">
        <f t="shared" ref="M28:M29" si="11">SUM(H28:L28)</f>
        <v>173.21</v>
      </c>
    </row>
    <row r="29" spans="1:13" s="5" customFormat="1" ht="40.5" customHeight="1" x14ac:dyDescent="0.25">
      <c r="A29" s="35" t="s">
        <v>22</v>
      </c>
      <c r="B29" s="45" t="s">
        <v>161</v>
      </c>
      <c r="C29" s="46">
        <v>5923.9889507772023</v>
      </c>
      <c r="D29" s="39">
        <v>0</v>
      </c>
      <c r="E29" s="46">
        <v>5923.9889507772023</v>
      </c>
      <c r="F29" s="71">
        <f t="shared" si="0"/>
        <v>6.3157690891980922E-2</v>
      </c>
      <c r="G29" s="70">
        <f t="shared" si="1"/>
        <v>5.9239889235821033E-2</v>
      </c>
      <c r="H29" s="79">
        <v>0</v>
      </c>
      <c r="I29" s="79">
        <v>0</v>
      </c>
      <c r="J29" s="90">
        <v>1500</v>
      </c>
      <c r="K29" s="90">
        <v>3500</v>
      </c>
      <c r="L29" s="90">
        <v>923.99</v>
      </c>
      <c r="M29" s="42">
        <f t="shared" si="11"/>
        <v>5923.99</v>
      </c>
    </row>
    <row r="30" spans="1:13" s="5" customFormat="1" ht="62.25" customHeight="1" x14ac:dyDescent="0.25">
      <c r="A30" s="35" t="s">
        <v>76</v>
      </c>
      <c r="B30" s="62" t="s">
        <v>137</v>
      </c>
      <c r="C30" s="39">
        <v>600</v>
      </c>
      <c r="D30" s="39">
        <v>0</v>
      </c>
      <c r="E30" s="40">
        <f>C30+D30</f>
        <v>600</v>
      </c>
      <c r="F30" s="71">
        <f t="shared" si="0"/>
        <v>6.3968070923253392E-3</v>
      </c>
      <c r="G30" s="70">
        <f t="shared" si="1"/>
        <v>5.9999999724559593E-3</v>
      </c>
      <c r="H30" s="90">
        <v>300</v>
      </c>
      <c r="I30" s="90">
        <v>300</v>
      </c>
      <c r="J30" s="79">
        <v>0</v>
      </c>
      <c r="K30" s="79">
        <v>0</v>
      </c>
      <c r="L30" s="79">
        <v>0</v>
      </c>
      <c r="M30" s="53">
        <f>SUM(H30:L30)</f>
        <v>600</v>
      </c>
    </row>
    <row r="31" spans="1:13" s="5" customFormat="1" ht="37.5" customHeight="1" x14ac:dyDescent="0.25">
      <c r="A31" s="35" t="s">
        <v>92</v>
      </c>
      <c r="B31" s="62" t="s">
        <v>136</v>
      </c>
      <c r="C31" s="39">
        <v>8000</v>
      </c>
      <c r="D31" s="39">
        <v>0</v>
      </c>
      <c r="E31" s="40">
        <f>C31+D31</f>
        <v>8000</v>
      </c>
      <c r="F31" s="71">
        <f t="shared" si="0"/>
        <v>8.5290761231004514E-2</v>
      </c>
      <c r="G31" s="70">
        <f t="shared" si="1"/>
        <v>7.9999999632746122E-2</v>
      </c>
      <c r="H31" s="79">
        <v>0</v>
      </c>
      <c r="I31" s="79">
        <v>0</v>
      </c>
      <c r="J31" s="90">
        <v>1000</v>
      </c>
      <c r="K31" s="90">
        <v>3000</v>
      </c>
      <c r="L31" s="90">
        <v>4000</v>
      </c>
      <c r="M31" s="53">
        <f t="shared" si="10"/>
        <v>8000</v>
      </c>
    </row>
    <row r="32" spans="1:13" s="5" customFormat="1" ht="60" customHeight="1" x14ac:dyDescent="0.25">
      <c r="A32" s="61" t="s">
        <v>105</v>
      </c>
      <c r="B32" s="45" t="s">
        <v>129</v>
      </c>
      <c r="C32" s="39">
        <v>1472.24</v>
      </c>
      <c r="D32" s="39">
        <v>3250.0000000000073</v>
      </c>
      <c r="E32" s="46">
        <f>C32+D32</f>
        <v>4722.2400000000071</v>
      </c>
      <c r="F32" s="71">
        <f t="shared" si="0"/>
        <v>5.0345430539437422E-2</v>
      </c>
      <c r="G32" s="70">
        <f t="shared" si="1"/>
        <v>4.7222399783217454E-2</v>
      </c>
      <c r="H32" s="90">
        <v>300</v>
      </c>
      <c r="I32" s="90">
        <v>172.24</v>
      </c>
      <c r="J32" s="90">
        <v>1283.3399999999999</v>
      </c>
      <c r="K32" s="90">
        <v>1483.34</v>
      </c>
      <c r="L32" s="90">
        <v>1483.32</v>
      </c>
      <c r="M32" s="42">
        <f>SUM(H32:L32)</f>
        <v>4722.24</v>
      </c>
    </row>
    <row r="33" spans="1:16" s="18" customFormat="1" ht="36" customHeight="1" x14ac:dyDescent="0.25">
      <c r="A33" s="19">
        <v>2</v>
      </c>
      <c r="B33" s="19" t="s">
        <v>155</v>
      </c>
      <c r="C33" s="20">
        <f>SUM(C34:C36)</f>
        <v>6217.6209310880813</v>
      </c>
      <c r="D33" s="20">
        <f t="shared" ref="D33" si="12">SUM(D34:D36)</f>
        <v>0</v>
      </c>
      <c r="E33" s="20">
        <f>SUM(E34:E36)</f>
        <v>6217.6209310880813</v>
      </c>
      <c r="F33" s="57">
        <f t="shared" si="0"/>
        <v>6.6288202782291195E-2</v>
      </c>
      <c r="G33" s="57">
        <f t="shared" si="1"/>
        <v>6.2176209025450138E-2</v>
      </c>
      <c r="H33" s="20">
        <f t="shared" ref="H33:L33" si="13">SUM(H34:H36)</f>
        <v>0</v>
      </c>
      <c r="I33" s="20">
        <f t="shared" si="13"/>
        <v>518.14</v>
      </c>
      <c r="J33" s="20">
        <f t="shared" si="13"/>
        <v>1899.84</v>
      </c>
      <c r="K33" s="20">
        <f t="shared" si="13"/>
        <v>1899.84</v>
      </c>
      <c r="L33" s="20">
        <f t="shared" si="13"/>
        <v>1899.84</v>
      </c>
      <c r="M33" s="20">
        <f>SUM(M34:M36)</f>
        <v>6217.66</v>
      </c>
    </row>
    <row r="34" spans="1:16" s="5" customFormat="1" ht="29.25" customHeight="1" x14ac:dyDescent="0.25">
      <c r="A34" s="34" t="s">
        <v>23</v>
      </c>
      <c r="B34" s="52" t="s">
        <v>142</v>
      </c>
      <c r="C34" s="39">
        <v>518.13737202072537</v>
      </c>
      <c r="D34" s="39">
        <v>0</v>
      </c>
      <c r="E34" s="40">
        <f>C34+D34</f>
        <v>518.13737202072537</v>
      </c>
      <c r="F34" s="71">
        <f t="shared" si="0"/>
        <v>5.5240413602349811E-3</v>
      </c>
      <c r="G34" s="70">
        <f t="shared" si="1"/>
        <v>5.1813736964212587E-3</v>
      </c>
      <c r="H34" s="79">
        <v>0</v>
      </c>
      <c r="I34" s="90">
        <v>518.14</v>
      </c>
      <c r="J34" s="79">
        <v>0</v>
      </c>
      <c r="K34" s="79">
        <v>0</v>
      </c>
      <c r="L34" s="79">
        <v>0</v>
      </c>
      <c r="M34" s="42">
        <f>SUM(H34:L34)</f>
        <v>518.14</v>
      </c>
    </row>
    <row r="35" spans="1:16" s="5" customFormat="1" ht="26.25" customHeight="1" x14ac:dyDescent="0.25">
      <c r="A35" s="34" t="s">
        <v>24</v>
      </c>
      <c r="B35" s="44" t="s">
        <v>61</v>
      </c>
      <c r="C35" s="39">
        <v>5181.3461870466299</v>
      </c>
      <c r="D35" s="39">
        <v>0</v>
      </c>
      <c r="E35" s="40">
        <f>C35+D35</f>
        <v>5181.3461870466299</v>
      </c>
      <c r="F35" s="71">
        <f t="shared" si="0"/>
        <v>5.5240120061821225E-2</v>
      </c>
      <c r="G35" s="70">
        <f t="shared" si="1"/>
        <v>5.1813461632607617E-2</v>
      </c>
      <c r="H35" s="79">
        <v>0</v>
      </c>
      <c r="I35" s="79">
        <v>0</v>
      </c>
      <c r="J35" s="90">
        <v>1727.12</v>
      </c>
      <c r="K35" s="90">
        <v>1727.12</v>
      </c>
      <c r="L35" s="90">
        <v>1727.12</v>
      </c>
      <c r="M35" s="42">
        <f>SUM(H35:L35)</f>
        <v>5181.3599999999997</v>
      </c>
      <c r="P35" s="87"/>
    </row>
    <row r="36" spans="1:16" s="5" customFormat="1" ht="23.25" customHeight="1" x14ac:dyDescent="0.25">
      <c r="A36" s="35" t="s">
        <v>77</v>
      </c>
      <c r="B36" s="44" t="s">
        <v>62</v>
      </c>
      <c r="C36" s="39">
        <v>518.13737202072537</v>
      </c>
      <c r="D36" s="39">
        <v>0</v>
      </c>
      <c r="E36" s="40">
        <f>C36+D36</f>
        <v>518.13737202072537</v>
      </c>
      <c r="F36" s="71">
        <f t="shared" si="0"/>
        <v>5.5240413602349811E-3</v>
      </c>
      <c r="G36" s="70">
        <f t="shared" si="1"/>
        <v>5.1813736964212587E-3</v>
      </c>
      <c r="H36" s="79">
        <v>0</v>
      </c>
      <c r="I36" s="79">
        <v>0</v>
      </c>
      <c r="J36" s="90">
        <v>172.72</v>
      </c>
      <c r="K36" s="90">
        <v>172.72</v>
      </c>
      <c r="L36" s="90">
        <v>172.72</v>
      </c>
      <c r="M36" s="53">
        <f>SUM(H36:L36)</f>
        <v>518.16</v>
      </c>
      <c r="P36" s="87"/>
    </row>
    <row r="37" spans="1:16" s="18" customFormat="1" ht="37.9" customHeight="1" x14ac:dyDescent="0.25">
      <c r="A37" s="22">
        <v>3</v>
      </c>
      <c r="B37" s="22" t="s">
        <v>25</v>
      </c>
      <c r="C37" s="23">
        <f>SUM(C38:C45,C48)</f>
        <v>5562.8519528497409</v>
      </c>
      <c r="D37" s="23">
        <f t="shared" ref="D37" si="14">SUM(D38:D45,D48)</f>
        <v>950</v>
      </c>
      <c r="E37" s="23">
        <f>SUM(E38:E45,E48)</f>
        <v>6512.8519528497409</v>
      </c>
      <c r="F37" s="57">
        <f t="shared" si="0"/>
        <v>6.9435762605423598E-2</v>
      </c>
      <c r="G37" s="57">
        <f t="shared" si="1"/>
        <v>6.512851922951364E-2</v>
      </c>
      <c r="H37" s="23">
        <f>SUM(H38:H45,H48)</f>
        <v>696.26325699481868</v>
      </c>
      <c r="I37" s="23">
        <f t="shared" ref="I37:M37" si="15">SUM(I38:I45,I48)</f>
        <v>1381.5416062176166</v>
      </c>
      <c r="J37" s="23">
        <f t="shared" si="15"/>
        <v>1709.7516062176167</v>
      </c>
      <c r="K37" s="23">
        <f t="shared" si="15"/>
        <v>1635.9336461139897</v>
      </c>
      <c r="L37" s="23">
        <f>SUM(L38:L45,L48)</f>
        <v>1089.3672020725389</v>
      </c>
      <c r="M37" s="23">
        <f t="shared" si="15"/>
        <v>6512.8573176165801</v>
      </c>
    </row>
    <row r="38" spans="1:16" s="5" customFormat="1" ht="66" customHeight="1" x14ac:dyDescent="0.25">
      <c r="A38" s="34" t="s">
        <v>26</v>
      </c>
      <c r="B38" s="45" t="s">
        <v>149</v>
      </c>
      <c r="C38" s="39">
        <v>1347.1516606217617</v>
      </c>
      <c r="D38" s="39">
        <v>0</v>
      </c>
      <c r="E38" s="40">
        <f t="shared" ref="E38:E44" si="16">C38+D38</f>
        <v>1347.1516606217617</v>
      </c>
      <c r="F38" s="71">
        <f t="shared" si="0"/>
        <v>1.4362448828505238E-2</v>
      </c>
      <c r="G38" s="70">
        <f t="shared" si="1"/>
        <v>1.3471516544374283E-2</v>
      </c>
      <c r="H38" s="90">
        <v>269.43</v>
      </c>
      <c r="I38" s="90">
        <v>269.43</v>
      </c>
      <c r="J38" s="90">
        <v>269.43</v>
      </c>
      <c r="K38" s="90">
        <v>269.43</v>
      </c>
      <c r="L38" s="90">
        <v>269.43</v>
      </c>
      <c r="M38" s="42">
        <f t="shared" ref="M38" si="17">SUM(H38:L38)</f>
        <v>1347.15</v>
      </c>
    </row>
    <row r="39" spans="1:16" s="5" customFormat="1" ht="40.5" customHeight="1" x14ac:dyDescent="0.25">
      <c r="A39" s="34" t="s">
        <v>27</v>
      </c>
      <c r="B39" s="52" t="s">
        <v>87</v>
      </c>
      <c r="C39" s="39">
        <v>259.06868601036268</v>
      </c>
      <c r="D39" s="39">
        <v>0</v>
      </c>
      <c r="E39" s="40">
        <f t="shared" si="16"/>
        <v>259.06868601036268</v>
      </c>
      <c r="F39" s="71">
        <f t="shared" si="0"/>
        <v>2.7620206801174906E-3</v>
      </c>
      <c r="G39" s="70">
        <f t="shared" si="1"/>
        <v>2.5906868482106294E-3</v>
      </c>
      <c r="H39" s="79">
        <v>0</v>
      </c>
      <c r="I39" s="90">
        <v>91.78</v>
      </c>
      <c r="J39" s="90">
        <v>167.29</v>
      </c>
      <c r="K39" s="79">
        <v>0</v>
      </c>
      <c r="L39" s="79">
        <v>0</v>
      </c>
      <c r="M39" s="53">
        <f>SUM(H39:L39)</f>
        <v>259.07</v>
      </c>
    </row>
    <row r="40" spans="1:16" s="5" customFormat="1" ht="33.75" customHeight="1" x14ac:dyDescent="0.25">
      <c r="A40" s="34" t="s">
        <v>63</v>
      </c>
      <c r="B40" s="45" t="s">
        <v>88</v>
      </c>
      <c r="C40" s="39">
        <v>310.87691658031093</v>
      </c>
      <c r="D40" s="39">
        <v>0</v>
      </c>
      <c r="E40" s="40">
        <f t="shared" si="16"/>
        <v>310.87691658031093</v>
      </c>
      <c r="F40" s="71">
        <f t="shared" si="0"/>
        <v>3.3143661080352761E-3</v>
      </c>
      <c r="G40" s="70">
        <f t="shared" si="1"/>
        <v>3.1087691515317654E-3</v>
      </c>
      <c r="H40" s="79">
        <v>0</v>
      </c>
      <c r="I40" s="79">
        <v>0</v>
      </c>
      <c r="J40" s="79">
        <v>0</v>
      </c>
      <c r="K40" s="90">
        <v>155.44</v>
      </c>
      <c r="L40" s="90">
        <v>155.44</v>
      </c>
      <c r="M40" s="42">
        <f>SUM(H40:L40)</f>
        <v>310.88</v>
      </c>
    </row>
    <row r="41" spans="1:16" s="5" customFormat="1" ht="54.75" customHeight="1" x14ac:dyDescent="0.25">
      <c r="A41" s="34" t="s">
        <v>64</v>
      </c>
      <c r="B41" s="45" t="s">
        <v>106</v>
      </c>
      <c r="C41" s="39">
        <v>533.67525233160632</v>
      </c>
      <c r="D41" s="39">
        <v>0</v>
      </c>
      <c r="E41" s="40">
        <f t="shared" si="16"/>
        <v>533.67525233160632</v>
      </c>
      <c r="F41" s="71">
        <f t="shared" si="0"/>
        <v>5.68969606518889E-3</v>
      </c>
      <c r="G41" s="70">
        <f t="shared" si="1"/>
        <v>5.3367524988167754E-3</v>
      </c>
      <c r="H41" s="79">
        <v>0</v>
      </c>
      <c r="I41" s="90">
        <v>183.55440414507774</v>
      </c>
      <c r="J41" s="90">
        <v>183.55440414507774</v>
      </c>
      <c r="K41" s="90">
        <v>166.56644404145081</v>
      </c>
      <c r="L41" s="79">
        <v>0</v>
      </c>
      <c r="M41" s="42">
        <f>SUM(I41:L41)</f>
        <v>533.67525233160632</v>
      </c>
    </row>
    <row r="42" spans="1:16" s="5" customFormat="1" ht="48" customHeight="1" x14ac:dyDescent="0.25">
      <c r="A42" s="34" t="s">
        <v>65</v>
      </c>
      <c r="B42" s="45" t="s">
        <v>150</v>
      </c>
      <c r="C42" s="39">
        <v>120</v>
      </c>
      <c r="D42" s="39">
        <v>0</v>
      </c>
      <c r="E42" s="40">
        <f t="shared" si="16"/>
        <v>120</v>
      </c>
      <c r="F42" s="71">
        <f t="shared" si="0"/>
        <v>1.2793614184650678E-3</v>
      </c>
      <c r="G42" s="70">
        <f t="shared" si="1"/>
        <v>1.1999999944911919E-3</v>
      </c>
      <c r="H42" s="79">
        <v>0</v>
      </c>
      <c r="I42" s="90">
        <v>120</v>
      </c>
      <c r="J42" s="79">
        <v>0</v>
      </c>
      <c r="K42" s="79">
        <v>0</v>
      </c>
      <c r="L42" s="79">
        <v>0</v>
      </c>
      <c r="M42" s="42">
        <f>SUM(H42:L42)</f>
        <v>120</v>
      </c>
    </row>
    <row r="43" spans="1:16" s="5" customFormat="1" ht="42.6" customHeight="1" x14ac:dyDescent="0.25">
      <c r="A43" s="34" t="s">
        <v>66</v>
      </c>
      <c r="B43" s="45" t="s">
        <v>143</v>
      </c>
      <c r="C43" s="39">
        <v>518.13737202072537</v>
      </c>
      <c r="D43" s="39">
        <v>0</v>
      </c>
      <c r="E43" s="40">
        <f t="shared" si="16"/>
        <v>518.13737202072537</v>
      </c>
      <c r="F43" s="71">
        <f t="shared" ref="F43:F74" si="18">E43/$E$77</f>
        <v>5.5240413602349811E-3</v>
      </c>
      <c r="G43" s="70">
        <f t="shared" ref="G43:G78" si="19">E43/$E$84</f>
        <v>5.1813736964212587E-3</v>
      </c>
      <c r="H43" s="79">
        <v>0</v>
      </c>
      <c r="I43" s="79">
        <v>0</v>
      </c>
      <c r="J43" s="90">
        <v>172.7</v>
      </c>
      <c r="K43" s="90">
        <v>172.72</v>
      </c>
      <c r="L43" s="90">
        <v>172.72</v>
      </c>
      <c r="M43" s="42">
        <f>SUM(J43:L43)</f>
        <v>518.14</v>
      </c>
    </row>
    <row r="44" spans="1:16" s="5" customFormat="1" ht="43.5" customHeight="1" x14ac:dyDescent="0.25">
      <c r="A44" s="34" t="s">
        <v>67</v>
      </c>
      <c r="B44" s="45" t="s">
        <v>68</v>
      </c>
      <c r="C44" s="39">
        <v>1510</v>
      </c>
      <c r="D44" s="39">
        <v>0</v>
      </c>
      <c r="E44" s="40">
        <f t="shared" si="16"/>
        <v>1510</v>
      </c>
      <c r="F44" s="71">
        <f t="shared" si="18"/>
        <v>1.6098631182352104E-2</v>
      </c>
      <c r="G44" s="70">
        <f t="shared" si="19"/>
        <v>1.509999993068083E-2</v>
      </c>
      <c r="H44" s="90">
        <v>110</v>
      </c>
      <c r="I44" s="90">
        <v>200</v>
      </c>
      <c r="J44" s="90">
        <v>400</v>
      </c>
      <c r="K44" s="90">
        <v>400</v>
      </c>
      <c r="L44" s="90">
        <v>400</v>
      </c>
      <c r="M44" s="42">
        <f>SUM(H44:L44)</f>
        <v>1510</v>
      </c>
    </row>
    <row r="45" spans="1:16" s="5" customFormat="1" ht="45.75" customHeight="1" x14ac:dyDescent="0.25">
      <c r="A45" s="34" t="s">
        <v>78</v>
      </c>
      <c r="B45" s="52" t="s">
        <v>80</v>
      </c>
      <c r="C45" s="39">
        <f>C47+C46</f>
        <v>280</v>
      </c>
      <c r="D45" s="39">
        <f>D47+D46</f>
        <v>950</v>
      </c>
      <c r="E45" s="39">
        <f>E47+E46</f>
        <v>1230</v>
      </c>
      <c r="F45" s="71">
        <f t="shared" si="18"/>
        <v>1.3113454539266945E-2</v>
      </c>
      <c r="G45" s="70">
        <f t="shared" si="19"/>
        <v>1.2299999943534716E-2</v>
      </c>
      <c r="H45" s="79">
        <f>H47+H46</f>
        <v>0</v>
      </c>
      <c r="I45" s="90">
        <f>I47+I46</f>
        <v>425</v>
      </c>
      <c r="J45" s="90">
        <f>J47+J46</f>
        <v>425</v>
      </c>
      <c r="K45" s="90">
        <f>K47+K46</f>
        <v>380</v>
      </c>
      <c r="L45" s="79">
        <f>L47+L46</f>
        <v>0</v>
      </c>
      <c r="M45" s="42">
        <f>SUM(H45:L45)</f>
        <v>1230</v>
      </c>
    </row>
    <row r="46" spans="1:16" s="5" customFormat="1" ht="36" customHeight="1" x14ac:dyDescent="0.25">
      <c r="A46" s="67" t="s">
        <v>107</v>
      </c>
      <c r="B46" s="12" t="s">
        <v>81</v>
      </c>
      <c r="C46" s="29">
        <v>0</v>
      </c>
      <c r="D46" s="29">
        <v>850</v>
      </c>
      <c r="E46" s="43">
        <f>C46+D46</f>
        <v>850</v>
      </c>
      <c r="F46" s="74">
        <f t="shared" si="18"/>
        <v>9.0621433807942294E-3</v>
      </c>
      <c r="G46" s="72">
        <f t="shared" si="19"/>
        <v>8.4999999609792747E-3</v>
      </c>
      <c r="H46" s="76">
        <v>0</v>
      </c>
      <c r="I46" s="91">
        <v>425</v>
      </c>
      <c r="J46" s="91">
        <v>425</v>
      </c>
      <c r="K46" s="76">
        <v>0</v>
      </c>
      <c r="L46" s="76">
        <v>0</v>
      </c>
      <c r="M46" s="68">
        <f>SUM(I46:L46)</f>
        <v>850</v>
      </c>
    </row>
    <row r="47" spans="1:16" s="5" customFormat="1" ht="30.75" customHeight="1" x14ac:dyDescent="0.25">
      <c r="A47" s="67" t="s">
        <v>108</v>
      </c>
      <c r="B47" s="12" t="s">
        <v>82</v>
      </c>
      <c r="C47" s="29">
        <v>280</v>
      </c>
      <c r="D47" s="29">
        <v>100</v>
      </c>
      <c r="E47" s="43">
        <f>C47+D47</f>
        <v>380</v>
      </c>
      <c r="F47" s="74">
        <f t="shared" si="18"/>
        <v>4.0513111584727143E-3</v>
      </c>
      <c r="G47" s="72">
        <f t="shared" si="19"/>
        <v>3.7999999825554407E-3</v>
      </c>
      <c r="H47" s="76">
        <v>0</v>
      </c>
      <c r="I47" s="76">
        <v>0</v>
      </c>
      <c r="J47" s="76">
        <v>0</v>
      </c>
      <c r="K47" s="91">
        <v>380</v>
      </c>
      <c r="L47" s="76">
        <v>0</v>
      </c>
      <c r="M47" s="68">
        <f>SUM(H47:L47)</f>
        <v>380</v>
      </c>
    </row>
    <row r="48" spans="1:16" s="5" customFormat="1" ht="36" customHeight="1" x14ac:dyDescent="0.25">
      <c r="A48" s="35" t="s">
        <v>79</v>
      </c>
      <c r="B48" s="45" t="s">
        <v>144</v>
      </c>
      <c r="C48" s="39">
        <v>683.94206528497421</v>
      </c>
      <c r="D48" s="39">
        <v>0</v>
      </c>
      <c r="E48" s="40">
        <f>C48+D48</f>
        <v>683.94206528497421</v>
      </c>
      <c r="F48" s="71">
        <f t="shared" si="18"/>
        <v>7.2917424232576047E-3</v>
      </c>
      <c r="G48" s="70">
        <f t="shared" si="19"/>
        <v>6.839420621452195E-3</v>
      </c>
      <c r="H48" s="90">
        <v>316.83325699481873</v>
      </c>
      <c r="I48" s="90">
        <v>91.77720207253887</v>
      </c>
      <c r="J48" s="90">
        <v>91.77720207253887</v>
      </c>
      <c r="K48" s="90">
        <v>91.77720207253887</v>
      </c>
      <c r="L48" s="90">
        <v>91.77720207253887</v>
      </c>
      <c r="M48" s="53">
        <f>SUM(H48:L48)</f>
        <v>683.94206528497432</v>
      </c>
    </row>
    <row r="49" spans="1:13" s="18" customFormat="1" ht="39.6" customHeight="1" x14ac:dyDescent="0.25">
      <c r="A49" s="24">
        <v>4</v>
      </c>
      <c r="B49" s="24" t="s">
        <v>154</v>
      </c>
      <c r="C49" s="25">
        <f>SUM(C50:C52,C55)</f>
        <v>0</v>
      </c>
      <c r="D49" s="25">
        <f>SUM(D50:D52,D55)</f>
        <v>30436.416734715021</v>
      </c>
      <c r="E49" s="25">
        <f>SUM(E50:E52,E55)</f>
        <v>30436.416734715021</v>
      </c>
      <c r="F49" s="57">
        <f t="shared" si="18"/>
        <v>0.32449314405599111</v>
      </c>
      <c r="G49" s="57">
        <f t="shared" si="19"/>
        <v>0.30436416594991372</v>
      </c>
      <c r="H49" s="25">
        <f t="shared" ref="H49:M49" si="20">SUM(H50:H52,H55)</f>
        <v>3782.38</v>
      </c>
      <c r="I49" s="25">
        <f t="shared" si="20"/>
        <v>0</v>
      </c>
      <c r="J49" s="25">
        <f t="shared" si="20"/>
        <v>0</v>
      </c>
      <c r="K49" s="25">
        <f t="shared" si="20"/>
        <v>8861.92</v>
      </c>
      <c r="L49" s="25">
        <f t="shared" si="20"/>
        <v>17792.11</v>
      </c>
      <c r="M49" s="25">
        <f t="shared" si="20"/>
        <v>30436.410000000003</v>
      </c>
    </row>
    <row r="50" spans="1:13" s="5" customFormat="1" ht="48.75" customHeight="1" x14ac:dyDescent="0.25">
      <c r="A50" s="60" t="s">
        <v>28</v>
      </c>
      <c r="B50" s="45" t="s">
        <v>31</v>
      </c>
      <c r="C50" s="39">
        <v>0</v>
      </c>
      <c r="D50" s="39">
        <v>9519.0396217616581</v>
      </c>
      <c r="E50" s="46">
        <f t="shared" ref="E50:E55" si="21">C50+D50</f>
        <v>9519.0396217616581</v>
      </c>
      <c r="F50" s="71">
        <f t="shared" si="18"/>
        <v>0.10148576694101814</v>
      </c>
      <c r="G50" s="70">
        <f t="shared" si="19"/>
        <v>9.5190395780628559E-2</v>
      </c>
      <c r="H50" s="79">
        <v>0</v>
      </c>
      <c r="I50" s="79">
        <v>0</v>
      </c>
      <c r="J50" s="79">
        <v>0</v>
      </c>
      <c r="K50" s="79">
        <v>0</v>
      </c>
      <c r="L50" s="90">
        <v>9519.0400000000009</v>
      </c>
      <c r="M50" s="53">
        <f t="shared" ref="M50:M55" si="22">SUM(H50:L50)</f>
        <v>9519.0400000000009</v>
      </c>
    </row>
    <row r="51" spans="1:13" s="5" customFormat="1" ht="46.5" customHeight="1" x14ac:dyDescent="0.25">
      <c r="A51" s="60" t="s">
        <v>29</v>
      </c>
      <c r="B51" s="45" t="s">
        <v>96</v>
      </c>
      <c r="C51" s="39">
        <v>0</v>
      </c>
      <c r="D51" s="39">
        <v>3626.9430051813474</v>
      </c>
      <c r="E51" s="46">
        <f t="shared" si="21"/>
        <v>3626.9430051813474</v>
      </c>
      <c r="F51" s="71">
        <f t="shared" si="18"/>
        <v>3.8668091231673037E-2</v>
      </c>
      <c r="G51" s="70">
        <f t="shared" si="19"/>
        <v>3.6269429885312364E-2</v>
      </c>
      <c r="H51" s="90">
        <v>3626.94</v>
      </c>
      <c r="I51" s="39">
        <v>0</v>
      </c>
      <c r="J51" s="39">
        <v>0</v>
      </c>
      <c r="K51" s="39">
        <v>0</v>
      </c>
      <c r="L51" s="39">
        <v>0</v>
      </c>
      <c r="M51" s="42">
        <f t="shared" si="22"/>
        <v>3626.94</v>
      </c>
    </row>
    <row r="52" spans="1:13" s="5" customFormat="1" ht="43.5" customHeight="1" x14ac:dyDescent="0.25">
      <c r="A52" s="62" t="s">
        <v>30</v>
      </c>
      <c r="B52" s="52" t="s">
        <v>83</v>
      </c>
      <c r="C52" s="39">
        <f>C53+C54</f>
        <v>0</v>
      </c>
      <c r="D52" s="39">
        <f>D53+D54</f>
        <v>4744.3005181347153</v>
      </c>
      <c r="E52" s="46">
        <f t="shared" si="21"/>
        <v>4744.3005181347153</v>
      </c>
      <c r="F52" s="71">
        <f t="shared" si="18"/>
        <v>5.0580625337544878E-2</v>
      </c>
      <c r="G52" s="70">
        <f t="shared" si="19"/>
        <v>4.7443004963551805E-2</v>
      </c>
      <c r="H52" s="90">
        <f>H53+H54</f>
        <v>155.44</v>
      </c>
      <c r="I52" s="79">
        <f>I53+I54</f>
        <v>0</v>
      </c>
      <c r="J52" s="79">
        <f>J53+J54</f>
        <v>0</v>
      </c>
      <c r="K52" s="90">
        <f>K53+K54</f>
        <v>2588.86</v>
      </c>
      <c r="L52" s="90">
        <f>L53+L54</f>
        <v>2000</v>
      </c>
      <c r="M52" s="42">
        <f t="shared" si="22"/>
        <v>4744.3</v>
      </c>
    </row>
    <row r="53" spans="1:13" s="5" customFormat="1" ht="32.25" customHeight="1" x14ac:dyDescent="0.25">
      <c r="A53" s="17" t="s">
        <v>72</v>
      </c>
      <c r="B53" s="12" t="s">
        <v>84</v>
      </c>
      <c r="C53" s="29">
        <v>0</v>
      </c>
      <c r="D53" s="29">
        <v>155.44041450777203</v>
      </c>
      <c r="E53" s="77">
        <f t="shared" si="21"/>
        <v>155.44041450777203</v>
      </c>
      <c r="F53" s="74">
        <f t="shared" si="18"/>
        <v>1.6572039099288444E-3</v>
      </c>
      <c r="G53" s="72">
        <f t="shared" si="19"/>
        <v>1.5544041379419585E-3</v>
      </c>
      <c r="H53" s="91">
        <v>155.44</v>
      </c>
      <c r="I53" s="29">
        <v>0</v>
      </c>
      <c r="J53" s="29">
        <v>0</v>
      </c>
      <c r="K53" s="29">
        <v>0</v>
      </c>
      <c r="L53" s="29">
        <v>0</v>
      </c>
      <c r="M53" s="33">
        <f t="shared" si="22"/>
        <v>155.44</v>
      </c>
    </row>
    <row r="54" spans="1:13" s="5" customFormat="1" ht="33" customHeight="1" x14ac:dyDescent="0.25">
      <c r="A54" s="17" t="s">
        <v>73</v>
      </c>
      <c r="B54" s="12" t="s">
        <v>85</v>
      </c>
      <c r="C54" s="29">
        <v>0</v>
      </c>
      <c r="D54" s="29">
        <v>4588.8601036269429</v>
      </c>
      <c r="E54" s="77">
        <f t="shared" si="21"/>
        <v>4588.8601036269429</v>
      </c>
      <c r="F54" s="74">
        <f t="shared" si="18"/>
        <v>4.8923421427616028E-2</v>
      </c>
      <c r="G54" s="72">
        <f t="shared" si="19"/>
        <v>4.5888600825609846E-2</v>
      </c>
      <c r="H54" s="4">
        <v>0</v>
      </c>
      <c r="I54" s="4">
        <v>0</v>
      </c>
      <c r="J54" s="4">
        <v>0</v>
      </c>
      <c r="K54" s="92">
        <v>2588.86</v>
      </c>
      <c r="L54" s="92">
        <v>2000</v>
      </c>
      <c r="M54" s="33">
        <f t="shared" si="22"/>
        <v>4588.8600000000006</v>
      </c>
    </row>
    <row r="55" spans="1:13" s="5" customFormat="1" ht="46.5" customHeight="1" x14ac:dyDescent="0.25">
      <c r="A55" s="62" t="s">
        <v>32</v>
      </c>
      <c r="B55" s="52" t="s">
        <v>164</v>
      </c>
      <c r="C55" s="39">
        <v>0</v>
      </c>
      <c r="D55" s="39">
        <v>12546.1335896373</v>
      </c>
      <c r="E55" s="46">
        <f t="shared" si="21"/>
        <v>12546.1335896373</v>
      </c>
      <c r="F55" s="71">
        <f t="shared" si="18"/>
        <v>0.13375866054575508</v>
      </c>
      <c r="G55" s="70">
        <f t="shared" si="19"/>
        <v>0.12546133532042097</v>
      </c>
      <c r="H55" s="39">
        <v>0</v>
      </c>
      <c r="I55" s="39">
        <v>0</v>
      </c>
      <c r="J55" s="39">
        <v>0</v>
      </c>
      <c r="K55" s="90">
        <v>6273.06</v>
      </c>
      <c r="L55" s="90">
        <v>6273.07</v>
      </c>
      <c r="M55" s="53">
        <f t="shared" si="22"/>
        <v>12546.130000000001</v>
      </c>
    </row>
    <row r="56" spans="1:13" s="18" customFormat="1" ht="34.9" customHeight="1" x14ac:dyDescent="0.25">
      <c r="A56" s="26">
        <v>5</v>
      </c>
      <c r="B56" s="50" t="s">
        <v>135</v>
      </c>
      <c r="C56" s="27">
        <f>SUM(C57:C58,C61,C65:C66,C69,C72,C76)</f>
        <v>14401.181293264248</v>
      </c>
      <c r="D56" s="27">
        <f>SUM(D57:D58,D61,D65:D66,D69,D72,D76)</f>
        <v>0</v>
      </c>
      <c r="E56" s="27">
        <f>SUM(E57:E58,E61,E65:E66,E69,E72,E76)</f>
        <v>14401.181293264248</v>
      </c>
      <c r="F56" s="57">
        <f t="shared" si="18"/>
        <v>0.15353596439102624</v>
      </c>
      <c r="G56" s="57">
        <f t="shared" si="19"/>
        <v>0.14401181227153126</v>
      </c>
      <c r="H56" s="27">
        <f t="shared" ref="H56:M56" si="23">SUM(H57:H58,H61,H65:H66,H69,H72,H76)</f>
        <v>178.25860103626945</v>
      </c>
      <c r="I56" s="27">
        <f t="shared" si="23"/>
        <v>3806.11</v>
      </c>
      <c r="J56" s="27">
        <f t="shared" si="23"/>
        <v>5883.6399999999994</v>
      </c>
      <c r="K56" s="27">
        <f t="shared" si="23"/>
        <v>3650.02</v>
      </c>
      <c r="L56" s="27">
        <f t="shared" si="23"/>
        <v>883.15000000000009</v>
      </c>
      <c r="M56" s="27">
        <f t="shared" si="23"/>
        <v>14401.17860103627</v>
      </c>
    </row>
    <row r="57" spans="1:13" s="5" customFormat="1" ht="72" customHeight="1" x14ac:dyDescent="0.25">
      <c r="A57" s="60" t="s">
        <v>33</v>
      </c>
      <c r="B57" s="45" t="s">
        <v>133</v>
      </c>
      <c r="C57" s="39">
        <v>1036.2655663212436</v>
      </c>
      <c r="D57" s="39">
        <v>0</v>
      </c>
      <c r="E57" s="51">
        <f>C57+D57</f>
        <v>1036.2655663212436</v>
      </c>
      <c r="F57" s="71">
        <f t="shared" si="18"/>
        <v>1.1047984873627108E-2</v>
      </c>
      <c r="G57" s="70">
        <f t="shared" si="19"/>
        <v>1.0362655615640867E-2</v>
      </c>
      <c r="H57" s="79">
        <v>0</v>
      </c>
      <c r="I57" s="90">
        <v>259.07</v>
      </c>
      <c r="J57" s="90">
        <v>259.07</v>
      </c>
      <c r="K57" s="90">
        <v>259.07</v>
      </c>
      <c r="L57" s="90">
        <v>259.06</v>
      </c>
      <c r="M57" s="42">
        <f t="shared" ref="M57" si="24">SUM(H57:L57)</f>
        <v>1036.27</v>
      </c>
    </row>
    <row r="58" spans="1:13" s="5" customFormat="1" ht="42.75" customHeight="1" x14ac:dyDescent="0.25">
      <c r="A58" s="62" t="s">
        <v>34</v>
      </c>
      <c r="B58" s="52" t="s">
        <v>109</v>
      </c>
      <c r="C58" s="39">
        <f>C59+C60</f>
        <v>388.60302901554411</v>
      </c>
      <c r="D58" s="39">
        <f>D59+D60</f>
        <v>0</v>
      </c>
      <c r="E58" s="51">
        <f>C58+D58</f>
        <v>388.60302901554411</v>
      </c>
      <c r="F58" s="71">
        <f t="shared" si="18"/>
        <v>4.1430310201762367E-3</v>
      </c>
      <c r="G58" s="70">
        <f t="shared" si="19"/>
        <v>3.8860302723159449E-3</v>
      </c>
      <c r="H58" s="90">
        <f>H60+H59</f>
        <v>45.888601036269435</v>
      </c>
      <c r="I58" s="90">
        <f>I60+I59</f>
        <v>85.68</v>
      </c>
      <c r="J58" s="90">
        <f>J60+J59</f>
        <v>85.68</v>
      </c>
      <c r="K58" s="90">
        <f>K60+K59</f>
        <v>85.68</v>
      </c>
      <c r="L58" s="90">
        <f>L60+L59</f>
        <v>85.67</v>
      </c>
      <c r="M58" s="42">
        <f t="shared" ref="M58:M70" si="25">SUM(H58:L58)</f>
        <v>388.59860103626949</v>
      </c>
    </row>
    <row r="59" spans="1:13" s="5" customFormat="1" ht="39" customHeight="1" x14ac:dyDescent="0.25">
      <c r="A59" s="17" t="s">
        <v>47</v>
      </c>
      <c r="B59" s="12" t="s">
        <v>124</v>
      </c>
      <c r="C59" s="29">
        <v>45.888601036269435</v>
      </c>
      <c r="D59" s="29">
        <v>0</v>
      </c>
      <c r="E59" s="4">
        <f>C59+D59</f>
        <v>45.888601036269435</v>
      </c>
      <c r="F59" s="74">
        <f t="shared" si="18"/>
        <v>4.8923421427616036E-4</v>
      </c>
      <c r="G59" s="72">
        <f t="shared" si="19"/>
        <v>4.5888600825609853E-4</v>
      </c>
      <c r="H59" s="91">
        <v>45.888601036269435</v>
      </c>
      <c r="I59" s="76">
        <v>0</v>
      </c>
      <c r="J59" s="76">
        <v>0</v>
      </c>
      <c r="K59" s="76">
        <v>0</v>
      </c>
      <c r="L59" s="76">
        <v>0</v>
      </c>
      <c r="M59" s="33">
        <f t="shared" si="25"/>
        <v>45.888601036269435</v>
      </c>
    </row>
    <row r="60" spans="1:13" s="5" customFormat="1" ht="44.25" customHeight="1" x14ac:dyDescent="0.25">
      <c r="A60" s="17" t="s">
        <v>48</v>
      </c>
      <c r="B60" s="12" t="s">
        <v>125</v>
      </c>
      <c r="C60" s="29">
        <v>342.71442797927466</v>
      </c>
      <c r="D60" s="29">
        <v>0</v>
      </c>
      <c r="E60" s="4">
        <f>C60+D60</f>
        <v>342.71442797927466</v>
      </c>
      <c r="F60" s="74">
        <f t="shared" si="18"/>
        <v>3.6537968059000762E-3</v>
      </c>
      <c r="G60" s="72">
        <f t="shared" si="19"/>
        <v>3.4271442640598465E-3</v>
      </c>
      <c r="H60" s="76">
        <v>0</v>
      </c>
      <c r="I60" s="91">
        <v>85.68</v>
      </c>
      <c r="J60" s="91">
        <v>85.68</v>
      </c>
      <c r="K60" s="91">
        <v>85.68</v>
      </c>
      <c r="L60" s="91">
        <v>85.67</v>
      </c>
      <c r="M60" s="33">
        <f t="shared" si="25"/>
        <v>342.71000000000004</v>
      </c>
    </row>
    <row r="61" spans="1:13" s="5" customFormat="1" ht="63.75" customHeight="1" x14ac:dyDescent="0.25">
      <c r="A61" s="62" t="s">
        <v>35</v>
      </c>
      <c r="B61" s="52" t="s">
        <v>110</v>
      </c>
      <c r="C61" s="39">
        <f>C62+C63+C64</f>
        <v>906.73122331606237</v>
      </c>
      <c r="D61" s="39">
        <f>D62+D63+D64</f>
        <v>0</v>
      </c>
      <c r="E61" s="39">
        <f>E62+E63+E64</f>
        <v>906.73122331606237</v>
      </c>
      <c r="F61" s="71">
        <f t="shared" si="18"/>
        <v>9.6669745335683649E-3</v>
      </c>
      <c r="G61" s="70">
        <f t="shared" si="19"/>
        <v>9.067312191535554E-3</v>
      </c>
      <c r="H61" s="79">
        <f>H62+H63+H64</f>
        <v>0</v>
      </c>
      <c r="I61" s="90">
        <f>I62+I63+I64</f>
        <v>367.1</v>
      </c>
      <c r="J61" s="90">
        <f>J62+J63+J64</f>
        <v>179.88</v>
      </c>
      <c r="K61" s="90">
        <f>K62+K63+K64</f>
        <v>179.88</v>
      </c>
      <c r="L61" s="90">
        <f>L62+L63+L64</f>
        <v>179.86</v>
      </c>
      <c r="M61" s="42">
        <f>SUM(H61:L61)</f>
        <v>906.72</v>
      </c>
    </row>
    <row r="62" spans="1:13" s="5" customFormat="1" ht="28.5" customHeight="1" x14ac:dyDescent="0.25">
      <c r="A62" s="17" t="s">
        <v>49</v>
      </c>
      <c r="B62" s="12" t="s">
        <v>90</v>
      </c>
      <c r="C62" s="29">
        <v>183.55440414507774</v>
      </c>
      <c r="D62" s="29">
        <v>0</v>
      </c>
      <c r="E62" s="4">
        <f t="shared" ref="E62:E68" si="26">C62+D62</f>
        <v>183.55440414507774</v>
      </c>
      <c r="F62" s="74">
        <f t="shared" si="18"/>
        <v>1.9569368571046414E-3</v>
      </c>
      <c r="G62" s="72">
        <f t="shared" si="19"/>
        <v>1.8355440330243941E-3</v>
      </c>
      <c r="H62" s="76">
        <v>0</v>
      </c>
      <c r="I62" s="91">
        <v>183.55</v>
      </c>
      <c r="J62" s="76">
        <v>0</v>
      </c>
      <c r="K62" s="76">
        <v>0</v>
      </c>
      <c r="L62" s="76">
        <v>0</v>
      </c>
      <c r="M62" s="33">
        <f t="shared" si="25"/>
        <v>183.55</v>
      </c>
    </row>
    <row r="63" spans="1:13" s="5" customFormat="1" ht="36.75" customHeight="1" x14ac:dyDescent="0.25">
      <c r="A63" s="17" t="s">
        <v>50</v>
      </c>
      <c r="B63" s="12" t="s">
        <v>132</v>
      </c>
      <c r="C63" s="29">
        <v>539.62241502590678</v>
      </c>
      <c r="D63" s="29">
        <v>0</v>
      </c>
      <c r="E63" s="4">
        <f t="shared" si="26"/>
        <v>539.62241502590678</v>
      </c>
      <c r="F63" s="74">
        <f t="shared" si="18"/>
        <v>5.7531008193590803E-3</v>
      </c>
      <c r="G63" s="72">
        <f t="shared" si="19"/>
        <v>5.3962241254867649E-3</v>
      </c>
      <c r="H63" s="76">
        <v>0</v>
      </c>
      <c r="I63" s="76">
        <v>0</v>
      </c>
      <c r="J63" s="91">
        <v>179.88</v>
      </c>
      <c r="K63" s="91">
        <v>179.88</v>
      </c>
      <c r="L63" s="91">
        <v>179.86</v>
      </c>
      <c r="M63" s="33">
        <f t="shared" si="25"/>
        <v>539.62</v>
      </c>
    </row>
    <row r="64" spans="1:13" s="5" customFormat="1" ht="34.5" customHeight="1" x14ac:dyDescent="0.25">
      <c r="A64" s="17" t="s">
        <v>91</v>
      </c>
      <c r="B64" s="12" t="s">
        <v>146</v>
      </c>
      <c r="C64" s="29">
        <v>183.55440414507774</v>
      </c>
      <c r="D64" s="29">
        <v>0</v>
      </c>
      <c r="E64" s="4">
        <f t="shared" si="26"/>
        <v>183.55440414507774</v>
      </c>
      <c r="F64" s="74">
        <f t="shared" si="18"/>
        <v>1.9569368571046414E-3</v>
      </c>
      <c r="G64" s="72">
        <f t="shared" si="19"/>
        <v>1.8355440330243941E-3</v>
      </c>
      <c r="H64" s="76">
        <v>0</v>
      </c>
      <c r="I64" s="91">
        <v>183.55</v>
      </c>
      <c r="J64" s="29">
        <v>0</v>
      </c>
      <c r="K64" s="76">
        <v>0</v>
      </c>
      <c r="L64" s="76">
        <v>0</v>
      </c>
      <c r="M64" s="33">
        <f t="shared" si="25"/>
        <v>183.55</v>
      </c>
    </row>
    <row r="65" spans="1:13" s="78" customFormat="1" ht="60" customHeight="1" x14ac:dyDescent="0.2">
      <c r="A65" s="60" t="s">
        <v>36</v>
      </c>
      <c r="B65" s="45" t="s">
        <v>145</v>
      </c>
      <c r="C65" s="39">
        <v>410</v>
      </c>
      <c r="D65" s="39">
        <v>0</v>
      </c>
      <c r="E65" s="51">
        <f t="shared" si="26"/>
        <v>410</v>
      </c>
      <c r="F65" s="70">
        <f t="shared" si="18"/>
        <v>4.3711515130889812E-3</v>
      </c>
      <c r="G65" s="70">
        <f t="shared" si="19"/>
        <v>4.0999999811782385E-3</v>
      </c>
      <c r="H65" s="90">
        <v>20</v>
      </c>
      <c r="I65" s="90">
        <v>105</v>
      </c>
      <c r="J65" s="90">
        <v>95</v>
      </c>
      <c r="K65" s="90">
        <v>95</v>
      </c>
      <c r="L65" s="90">
        <v>95</v>
      </c>
      <c r="M65" s="42">
        <f t="shared" si="25"/>
        <v>410</v>
      </c>
    </row>
    <row r="66" spans="1:13" s="5" customFormat="1" ht="39" customHeight="1" x14ac:dyDescent="0.25">
      <c r="A66" s="62" t="s">
        <v>37</v>
      </c>
      <c r="B66" s="52" t="s">
        <v>115</v>
      </c>
      <c r="C66" s="39">
        <f>C67+C68</f>
        <v>1109.014288601036</v>
      </c>
      <c r="D66" s="39">
        <f>D67+D68</f>
        <v>0</v>
      </c>
      <c r="E66" s="51">
        <f t="shared" si="26"/>
        <v>1109.014288601036</v>
      </c>
      <c r="F66" s="71">
        <f t="shared" si="18"/>
        <v>1.1823584111355413E-2</v>
      </c>
      <c r="G66" s="70">
        <f t="shared" si="19"/>
        <v>1.1090142835099135E-2</v>
      </c>
      <c r="H66" s="79">
        <f>H67+H68</f>
        <v>0</v>
      </c>
      <c r="I66" s="90">
        <f>I67+I68</f>
        <v>369.67999999999995</v>
      </c>
      <c r="J66" s="90">
        <f>J67+J68</f>
        <v>369.67999999999995</v>
      </c>
      <c r="K66" s="90">
        <f>K67+K68</f>
        <v>369.65999999999997</v>
      </c>
      <c r="L66" s="79">
        <f>L67+L68</f>
        <v>0</v>
      </c>
      <c r="M66" s="42">
        <f t="shared" si="25"/>
        <v>1109.02</v>
      </c>
    </row>
    <row r="67" spans="1:13" s="5" customFormat="1" ht="57" customHeight="1" x14ac:dyDescent="0.25">
      <c r="A67" s="17" t="s">
        <v>51</v>
      </c>
      <c r="B67" s="12" t="s">
        <v>113</v>
      </c>
      <c r="C67" s="29">
        <v>592.99740932642499</v>
      </c>
      <c r="D67" s="29">
        <v>0</v>
      </c>
      <c r="E67" s="4">
        <f t="shared" si="26"/>
        <v>592.99740932642499</v>
      </c>
      <c r="F67" s="74">
        <f t="shared" si="18"/>
        <v>6.3221500561830455E-3</v>
      </c>
      <c r="G67" s="72">
        <f t="shared" si="19"/>
        <v>5.9299740660416749E-3</v>
      </c>
      <c r="H67" s="76">
        <v>0</v>
      </c>
      <c r="I67" s="91">
        <v>197.67</v>
      </c>
      <c r="J67" s="91">
        <v>197.67</v>
      </c>
      <c r="K67" s="91">
        <v>197.66</v>
      </c>
      <c r="L67" s="76">
        <v>0</v>
      </c>
      <c r="M67" s="33">
        <f t="shared" si="25"/>
        <v>593</v>
      </c>
    </row>
    <row r="68" spans="1:13" s="5" customFormat="1" ht="51.75" x14ac:dyDescent="0.25">
      <c r="A68" s="17" t="s">
        <v>52</v>
      </c>
      <c r="B68" s="12" t="s">
        <v>114</v>
      </c>
      <c r="C68" s="29">
        <v>516.01687927461103</v>
      </c>
      <c r="D68" s="29">
        <v>0</v>
      </c>
      <c r="E68" s="4">
        <f t="shared" si="26"/>
        <v>516.01687927461103</v>
      </c>
      <c r="F68" s="74">
        <f t="shared" si="18"/>
        <v>5.501434055172367E-3</v>
      </c>
      <c r="G68" s="72">
        <f t="shared" si="19"/>
        <v>5.1601687690574606E-3</v>
      </c>
      <c r="H68" s="76">
        <v>0</v>
      </c>
      <c r="I68" s="91">
        <v>172.01</v>
      </c>
      <c r="J68" s="91">
        <v>172.01</v>
      </c>
      <c r="K68" s="91">
        <v>172</v>
      </c>
      <c r="L68" s="76">
        <v>0</v>
      </c>
      <c r="M68" s="33">
        <f t="shared" si="25"/>
        <v>516.02</v>
      </c>
    </row>
    <row r="69" spans="1:13" s="5" customFormat="1" ht="53.25" customHeight="1" x14ac:dyDescent="0.25">
      <c r="A69" s="62" t="s">
        <v>38</v>
      </c>
      <c r="B69" s="52" t="s">
        <v>130</v>
      </c>
      <c r="C69" s="39">
        <f>C70+C71</f>
        <v>1401.5571860103619</v>
      </c>
      <c r="D69" s="39">
        <f>D70+D71</f>
        <v>0</v>
      </c>
      <c r="E69" s="39">
        <f>E70+E71</f>
        <v>1401.5571860103619</v>
      </c>
      <c r="F69" s="71">
        <f t="shared" si="18"/>
        <v>1.4942484912951045E-2</v>
      </c>
      <c r="G69" s="70">
        <f t="shared" si="19"/>
        <v>1.4015571795762705E-2</v>
      </c>
      <c r="H69" s="79">
        <v>0</v>
      </c>
      <c r="I69" s="90">
        <f>SUM(I70,I71)</f>
        <v>467.2</v>
      </c>
      <c r="J69" s="90">
        <f>SUM(J70,J71)</f>
        <v>467.2</v>
      </c>
      <c r="K69" s="90">
        <f>SUM(K70,K71)</f>
        <v>233.6</v>
      </c>
      <c r="L69" s="90">
        <f>SUM(L70,L71)</f>
        <v>233.56</v>
      </c>
      <c r="M69" s="42">
        <f>SUM(H69:L69)</f>
        <v>1401.56</v>
      </c>
    </row>
    <row r="70" spans="1:13" s="5" customFormat="1" ht="58.5" customHeight="1" x14ac:dyDescent="0.25">
      <c r="A70" s="17" t="s">
        <v>116</v>
      </c>
      <c r="B70" s="12" t="s">
        <v>126</v>
      </c>
      <c r="C70" s="29">
        <v>688.329015544041</v>
      </c>
      <c r="D70" s="29">
        <v>0</v>
      </c>
      <c r="E70" s="4">
        <f t="shared" ref="E70:E75" si="27">C70+D70</f>
        <v>688.329015544041</v>
      </c>
      <c r="F70" s="74">
        <f t="shared" si="18"/>
        <v>7.3385132141423996E-3</v>
      </c>
      <c r="G70" s="72">
        <f t="shared" si="19"/>
        <v>6.8832901238414729E-3</v>
      </c>
      <c r="H70" s="76">
        <v>0</v>
      </c>
      <c r="I70" s="91">
        <v>229.45</v>
      </c>
      <c r="J70" s="91">
        <v>229.45</v>
      </c>
      <c r="K70" s="91">
        <v>114.72</v>
      </c>
      <c r="L70" s="91">
        <v>114.71</v>
      </c>
      <c r="M70" s="33">
        <f t="shared" si="25"/>
        <v>688.33</v>
      </c>
    </row>
    <row r="71" spans="1:13" s="5" customFormat="1" ht="60" customHeight="1" x14ac:dyDescent="0.25">
      <c r="A71" s="17" t="s">
        <v>117</v>
      </c>
      <c r="B71" s="12" t="s">
        <v>127</v>
      </c>
      <c r="C71" s="29">
        <v>713.22817046632099</v>
      </c>
      <c r="D71" s="29">
        <v>0</v>
      </c>
      <c r="E71" s="4">
        <f t="shared" si="27"/>
        <v>713.22817046632099</v>
      </c>
      <c r="F71" s="74">
        <f t="shared" si="18"/>
        <v>7.6039716988086465E-3</v>
      </c>
      <c r="G71" s="72">
        <f t="shared" si="19"/>
        <v>7.1322816719212338E-3</v>
      </c>
      <c r="H71" s="76">
        <v>0</v>
      </c>
      <c r="I71" s="91">
        <v>237.75</v>
      </c>
      <c r="J71" s="91">
        <v>237.75</v>
      </c>
      <c r="K71" s="91">
        <v>118.88</v>
      </c>
      <c r="L71" s="91">
        <v>118.85</v>
      </c>
      <c r="M71" s="33">
        <f t="shared" ref="M71:M76" si="28">SUM(H71:L71)</f>
        <v>713.23</v>
      </c>
    </row>
    <row r="72" spans="1:13" s="5" customFormat="1" ht="28.5" customHeight="1" x14ac:dyDescent="0.25">
      <c r="A72" s="60" t="s">
        <v>86</v>
      </c>
      <c r="B72" s="45" t="s">
        <v>147</v>
      </c>
      <c r="C72" s="39">
        <f>SUM(C73,C74,C75)</f>
        <v>1149.01</v>
      </c>
      <c r="D72" s="39">
        <v>0</v>
      </c>
      <c r="E72" s="51">
        <f t="shared" si="27"/>
        <v>1149.01</v>
      </c>
      <c r="F72" s="71">
        <f t="shared" si="18"/>
        <v>1.2249992195254562E-2</v>
      </c>
      <c r="G72" s="70">
        <f t="shared" si="19"/>
        <v>1.1490099947252704E-2</v>
      </c>
      <c r="H72" s="90">
        <v>112.37</v>
      </c>
      <c r="I72" s="90">
        <v>152.38</v>
      </c>
      <c r="J72" s="90">
        <f>SUM(J74,J75)</f>
        <v>427.13</v>
      </c>
      <c r="K72" s="90">
        <f>SUM(K73:K75)</f>
        <v>427.13</v>
      </c>
      <c r="L72" s="90">
        <f>SUM(L73:L75)</f>
        <v>30</v>
      </c>
      <c r="M72" s="42">
        <f t="shared" si="28"/>
        <v>1149.01</v>
      </c>
    </row>
    <row r="73" spans="1:13" s="5" customFormat="1" ht="36" customHeight="1" x14ac:dyDescent="0.25">
      <c r="A73" s="17" t="s">
        <v>118</v>
      </c>
      <c r="B73" s="12" t="s">
        <v>120</v>
      </c>
      <c r="C73" s="29">
        <v>264.75</v>
      </c>
      <c r="D73" s="29">
        <v>0</v>
      </c>
      <c r="E73" s="4">
        <f t="shared" si="27"/>
        <v>264.75</v>
      </c>
      <c r="F73" s="74">
        <f t="shared" si="18"/>
        <v>2.8225911294885559E-3</v>
      </c>
      <c r="G73" s="72">
        <f t="shared" si="19"/>
        <v>2.6474999878461922E-3</v>
      </c>
      <c r="H73" s="91">
        <v>112.37</v>
      </c>
      <c r="I73" s="91">
        <v>152.38</v>
      </c>
      <c r="J73" s="29">
        <v>0</v>
      </c>
      <c r="K73" s="76">
        <v>0</v>
      </c>
      <c r="L73" s="76">
        <v>0</v>
      </c>
      <c r="M73" s="33">
        <f t="shared" si="28"/>
        <v>264.75</v>
      </c>
    </row>
    <row r="74" spans="1:13" s="5" customFormat="1" ht="36.75" customHeight="1" x14ac:dyDescent="0.25">
      <c r="A74" s="17" t="s">
        <v>119</v>
      </c>
      <c r="B74" s="12" t="s">
        <v>121</v>
      </c>
      <c r="C74" s="29">
        <v>672.46</v>
      </c>
      <c r="D74" s="29">
        <v>0</v>
      </c>
      <c r="E74" s="4">
        <f t="shared" si="27"/>
        <v>672.46</v>
      </c>
      <c r="F74" s="74">
        <f t="shared" si="18"/>
        <v>7.169328162175163E-3</v>
      </c>
      <c r="G74" s="72">
        <f t="shared" si="19"/>
        <v>6.7245999691295574E-3</v>
      </c>
      <c r="H74" s="76">
        <v>0</v>
      </c>
      <c r="I74" s="76">
        <v>0</v>
      </c>
      <c r="J74" s="91">
        <v>321.23</v>
      </c>
      <c r="K74" s="91">
        <v>321.23</v>
      </c>
      <c r="L74" s="91">
        <v>30</v>
      </c>
      <c r="M74" s="33">
        <f t="shared" si="28"/>
        <v>672.46</v>
      </c>
    </row>
    <row r="75" spans="1:13" s="5" customFormat="1" ht="62.25" customHeight="1" x14ac:dyDescent="0.25">
      <c r="A75" s="17" t="s">
        <v>122</v>
      </c>
      <c r="B75" s="12" t="s">
        <v>123</v>
      </c>
      <c r="C75" s="29">
        <v>211.8</v>
      </c>
      <c r="D75" s="29">
        <v>0</v>
      </c>
      <c r="E75" s="4">
        <f t="shared" si="27"/>
        <v>211.8</v>
      </c>
      <c r="F75" s="74">
        <f t="shared" ref="F75:F76" si="29">E75/$E$77</f>
        <v>2.2580729035908448E-3</v>
      </c>
      <c r="G75" s="72">
        <f t="shared" si="19"/>
        <v>2.1179999902769535E-3</v>
      </c>
      <c r="H75" s="76">
        <v>0</v>
      </c>
      <c r="I75" s="76">
        <v>0</v>
      </c>
      <c r="J75" s="91">
        <v>105.9</v>
      </c>
      <c r="K75" s="91">
        <v>105.9</v>
      </c>
      <c r="L75" s="29">
        <v>0</v>
      </c>
      <c r="M75" s="33">
        <f t="shared" si="28"/>
        <v>211.8</v>
      </c>
    </row>
    <row r="76" spans="1:13" s="5" customFormat="1" ht="66.599999999999994" customHeight="1" x14ac:dyDescent="0.25">
      <c r="A76" s="62">
        <v>5.8</v>
      </c>
      <c r="B76" s="45" t="s">
        <v>163</v>
      </c>
      <c r="C76" s="39">
        <v>8000</v>
      </c>
      <c r="D76" s="39">
        <v>0</v>
      </c>
      <c r="E76" s="46">
        <f>C76+D76</f>
        <v>8000</v>
      </c>
      <c r="F76" s="71">
        <f t="shared" si="29"/>
        <v>8.5290761231004514E-2</v>
      </c>
      <c r="G76" s="70">
        <f t="shared" si="19"/>
        <v>7.9999999632746122E-2</v>
      </c>
      <c r="H76" s="79">
        <v>0</v>
      </c>
      <c r="I76" s="90">
        <v>2000</v>
      </c>
      <c r="J76" s="90">
        <v>4000</v>
      </c>
      <c r="K76" s="90">
        <v>2000</v>
      </c>
      <c r="L76" s="39">
        <v>0</v>
      </c>
      <c r="M76" s="53">
        <f t="shared" si="28"/>
        <v>8000</v>
      </c>
    </row>
    <row r="77" spans="1:13" s="18" customFormat="1" ht="36" customHeight="1" x14ac:dyDescent="0.25">
      <c r="A77" s="110" t="s">
        <v>70</v>
      </c>
      <c r="B77" s="110"/>
      <c r="C77" s="56">
        <f>C11+C33+C37+C49+C56</f>
        <v>53796.794453886017</v>
      </c>
      <c r="D77" s="56">
        <f>D11+D33+D37+D49+D56</f>
        <v>40000</v>
      </c>
      <c r="E77" s="56">
        <f>E11+E33+E37+E49+E56</f>
        <v>93796.794453886003</v>
      </c>
      <c r="F77" s="73">
        <f>E77/E77</f>
        <v>1</v>
      </c>
      <c r="G77" s="58">
        <f t="shared" si="19"/>
        <v>0.93796794023295549</v>
      </c>
      <c r="H77" s="56">
        <f t="shared" ref="H77:M77" si="30">H11+H33+H37+H49+H56</f>
        <v>6450.8664746113991</v>
      </c>
      <c r="I77" s="56">
        <f t="shared" si="30"/>
        <v>8498.3770165803107</v>
      </c>
      <c r="J77" s="56">
        <f t="shared" si="30"/>
        <v>18104.071606217614</v>
      </c>
      <c r="K77" s="56">
        <f t="shared" si="30"/>
        <v>29406.053646113989</v>
      </c>
      <c r="L77" s="56">
        <f t="shared" si="30"/>
        <v>31345.457202072539</v>
      </c>
      <c r="M77" s="56">
        <f t="shared" si="30"/>
        <v>93804.825945595861</v>
      </c>
    </row>
    <row r="78" spans="1:13" s="18" customFormat="1" ht="34.5" customHeight="1" x14ac:dyDescent="0.25">
      <c r="A78" s="26">
        <v>6</v>
      </c>
      <c r="B78" s="50" t="s">
        <v>131</v>
      </c>
      <c r="C78" s="27">
        <f>SUM(C79:C83)</f>
        <v>6203.2060051813469</v>
      </c>
      <c r="D78" s="27">
        <f>SUM(D79:D83)</f>
        <v>0</v>
      </c>
      <c r="E78" s="27">
        <f>SUM(E79:E83)</f>
        <v>6203.2060051813469</v>
      </c>
      <c r="F78" s="57"/>
      <c r="G78" s="57">
        <f t="shared" si="19"/>
        <v>6.2032059767044539E-2</v>
      </c>
      <c r="H78" s="27">
        <f t="shared" ref="H78:M78" si="31">SUM(H79:H83)</f>
        <v>1240.6412010362694</v>
      </c>
      <c r="I78" s="27">
        <f t="shared" si="31"/>
        <v>1240.6412010362694</v>
      </c>
      <c r="J78" s="27">
        <f t="shared" si="31"/>
        <v>1240.6422010362694</v>
      </c>
      <c r="K78" s="27">
        <f t="shared" si="31"/>
        <v>1240.6412010362694</v>
      </c>
      <c r="L78" s="27">
        <f t="shared" si="31"/>
        <v>1240.6412010362694</v>
      </c>
      <c r="M78" s="27">
        <f t="shared" si="31"/>
        <v>6203.207005181348</v>
      </c>
    </row>
    <row r="79" spans="1:13" s="5" customFormat="1" ht="24.75" customHeight="1" x14ac:dyDescent="0.25">
      <c r="A79" s="60" t="s">
        <v>39</v>
      </c>
      <c r="B79" s="45" t="s">
        <v>40</v>
      </c>
      <c r="C79" s="39">
        <v>229.44300518134716</v>
      </c>
      <c r="D79" s="39">
        <v>0</v>
      </c>
      <c r="E79" s="46">
        <f>C79+D79</f>
        <v>229.44300518134716</v>
      </c>
      <c r="F79" s="40"/>
      <c r="G79" s="70">
        <f t="shared" ref="G79:G83" si="32">E79/$E$84</f>
        <v>2.2944300412804926E-3</v>
      </c>
      <c r="H79" s="90">
        <v>45.888601036269435</v>
      </c>
      <c r="I79" s="90">
        <v>45.888601036269435</v>
      </c>
      <c r="J79" s="90">
        <v>45.888601036269435</v>
      </c>
      <c r="K79" s="90">
        <v>45.888601036269435</v>
      </c>
      <c r="L79" s="90">
        <v>45.888601036269435</v>
      </c>
      <c r="M79" s="46">
        <f>SUM(H79:L79)</f>
        <v>229.44300518134719</v>
      </c>
    </row>
    <row r="80" spans="1:13" s="5" customFormat="1" ht="24.75" customHeight="1" x14ac:dyDescent="0.25">
      <c r="A80" s="60" t="s">
        <v>41</v>
      </c>
      <c r="B80" s="45" t="s">
        <v>111</v>
      </c>
      <c r="C80" s="39">
        <v>3671.0880829015546</v>
      </c>
      <c r="D80" s="39">
        <v>0</v>
      </c>
      <c r="E80" s="46">
        <f>C80+D80</f>
        <v>3671.0880829015546</v>
      </c>
      <c r="F80" s="40"/>
      <c r="G80" s="70">
        <f t="shared" si="32"/>
        <v>3.6710880660487881E-2</v>
      </c>
      <c r="H80" s="90">
        <v>734.21761658031096</v>
      </c>
      <c r="I80" s="90">
        <v>734.21761658031096</v>
      </c>
      <c r="J80" s="90">
        <v>734.21761658031096</v>
      </c>
      <c r="K80" s="90">
        <v>734.21761658031096</v>
      </c>
      <c r="L80" s="90">
        <v>734.21761658031096</v>
      </c>
      <c r="M80" s="46">
        <f t="shared" ref="M80:M83" si="33">SUM(H80:L80)</f>
        <v>3671.088082901555</v>
      </c>
    </row>
    <row r="81" spans="1:13" s="5" customFormat="1" ht="24" customHeight="1" x14ac:dyDescent="0.25">
      <c r="A81" s="60" t="s">
        <v>42</v>
      </c>
      <c r="B81" s="45" t="s">
        <v>112</v>
      </c>
      <c r="C81" s="39">
        <v>1398.9598911917099</v>
      </c>
      <c r="D81" s="39">
        <v>0</v>
      </c>
      <c r="E81" s="46">
        <f>C81+D81</f>
        <v>1398.9598911917099</v>
      </c>
      <c r="F81" s="40"/>
      <c r="G81" s="70">
        <f t="shared" si="32"/>
        <v>1.3989598847695418E-2</v>
      </c>
      <c r="H81" s="90">
        <v>279.79197823834198</v>
      </c>
      <c r="I81" s="90">
        <v>279.79197823834198</v>
      </c>
      <c r="J81" s="90">
        <v>279.79197823834198</v>
      </c>
      <c r="K81" s="90">
        <v>279.79197823834198</v>
      </c>
      <c r="L81" s="90">
        <v>279.79197823834198</v>
      </c>
      <c r="M81" s="46">
        <f t="shared" si="33"/>
        <v>1398.9598911917099</v>
      </c>
    </row>
    <row r="82" spans="1:13" s="5" customFormat="1" ht="34.5" customHeight="1" x14ac:dyDescent="0.25">
      <c r="A82" s="60" t="s">
        <v>43</v>
      </c>
      <c r="B82" s="45" t="s">
        <v>93</v>
      </c>
      <c r="C82" s="39">
        <v>825.99481865284974</v>
      </c>
      <c r="D82" s="39">
        <v>0</v>
      </c>
      <c r="E82" s="46">
        <f>C82+D82</f>
        <v>825.99481865284974</v>
      </c>
      <c r="F82" s="40"/>
      <c r="G82" s="70">
        <f t="shared" si="32"/>
        <v>8.2599481486097717E-3</v>
      </c>
      <c r="H82" s="90">
        <v>165.19896373056994</v>
      </c>
      <c r="I82" s="90">
        <v>165.19896373056994</v>
      </c>
      <c r="J82" s="90">
        <v>165.19896373056994</v>
      </c>
      <c r="K82" s="90">
        <v>165.19896373056994</v>
      </c>
      <c r="L82" s="90">
        <v>165.19896373056994</v>
      </c>
      <c r="M82" s="46">
        <f t="shared" si="33"/>
        <v>825.99481865284974</v>
      </c>
    </row>
    <row r="83" spans="1:13" s="5" customFormat="1" ht="27" customHeight="1" x14ac:dyDescent="0.25">
      <c r="A83" s="60" t="s">
        <v>44</v>
      </c>
      <c r="B83" s="45" t="s">
        <v>45</v>
      </c>
      <c r="C83" s="39">
        <v>77.720207253886016</v>
      </c>
      <c r="D83" s="39">
        <v>0</v>
      </c>
      <c r="E83" s="46">
        <f>C83+D83</f>
        <v>77.720207253886016</v>
      </c>
      <c r="F83" s="40"/>
      <c r="G83" s="70">
        <f t="shared" si="32"/>
        <v>7.7720206897097927E-4</v>
      </c>
      <c r="H83" s="90">
        <v>15.544041450777204</v>
      </c>
      <c r="I83" s="90">
        <v>15.544041450777204</v>
      </c>
      <c r="J83" s="90">
        <v>15.5450414507772</v>
      </c>
      <c r="K83" s="90">
        <v>15.544041450777204</v>
      </c>
      <c r="L83" s="90">
        <v>15.544041450777204</v>
      </c>
      <c r="M83" s="46">
        <f t="shared" si="33"/>
        <v>77.721207253886007</v>
      </c>
    </row>
    <row r="84" spans="1:13" s="5" customFormat="1" ht="37.15" customHeight="1" x14ac:dyDescent="0.25">
      <c r="A84" s="14"/>
      <c r="B84" s="55" t="s">
        <v>69</v>
      </c>
      <c r="C84" s="54">
        <f t="shared" ref="C84:E84" si="34">C77+C78</f>
        <v>60000.000459067363</v>
      </c>
      <c r="D84" s="54">
        <f t="shared" si="34"/>
        <v>40000</v>
      </c>
      <c r="E84" s="54">
        <f t="shared" si="34"/>
        <v>100000.00045906735</v>
      </c>
      <c r="F84" s="54"/>
      <c r="G84" s="59">
        <f>G77+G78</f>
        <v>1</v>
      </c>
      <c r="H84" s="54">
        <f>H77+H78</f>
        <v>7691.5076756476683</v>
      </c>
      <c r="I84" s="54">
        <f t="shared" ref="I84:L84" si="35">I77+I78</f>
        <v>9739.0182176165799</v>
      </c>
      <c r="J84" s="54">
        <f t="shared" si="35"/>
        <v>19344.713807253884</v>
      </c>
      <c r="K84" s="54">
        <f t="shared" si="35"/>
        <v>30646.694847150258</v>
      </c>
      <c r="L84" s="54">
        <f t="shared" si="35"/>
        <v>32586.098403108808</v>
      </c>
      <c r="M84" s="54">
        <f>SUM(H84:L84)</f>
        <v>100008.03295077718</v>
      </c>
    </row>
    <row r="85" spans="1:13" s="1" customFormat="1" ht="39.6" customHeight="1" x14ac:dyDescent="0.25">
      <c r="A85" s="66"/>
      <c r="B85" s="55" t="s">
        <v>75</v>
      </c>
      <c r="C85" s="59">
        <f>C84/$E$84</f>
        <v>0.60000000183626956</v>
      </c>
      <c r="D85" s="59">
        <f>D84/$E$84</f>
        <v>0.39999999816373061</v>
      </c>
      <c r="E85" s="59">
        <f>C85+D85</f>
        <v>1.0000000000000002</v>
      </c>
      <c r="F85" s="59"/>
      <c r="G85" s="59"/>
      <c r="H85" s="59">
        <f t="shared" ref="H85:L85" si="36">H84/$E$84</f>
        <v>7.6915076403384686E-2</v>
      </c>
      <c r="I85" s="59">
        <f t="shared" si="36"/>
        <v>9.7390181729079275E-2</v>
      </c>
      <c r="J85" s="59">
        <f t="shared" si="36"/>
        <v>0.1934471371844862</v>
      </c>
      <c r="K85" s="59">
        <f t="shared" si="36"/>
        <v>0.30646694706461292</v>
      </c>
      <c r="L85" s="59">
        <f t="shared" si="36"/>
        <v>0.32586098253516671</v>
      </c>
      <c r="M85" s="59">
        <f>SUM(H85:L85)</f>
        <v>1.0000803249167296</v>
      </c>
    </row>
    <row r="86" spans="1:13" s="1" customFormat="1" ht="39" customHeight="1" x14ac:dyDescent="0.25">
      <c r="A86" s="15"/>
      <c r="B86" s="98" t="s">
        <v>71</v>
      </c>
      <c r="C86" s="99">
        <f>60000-C84</f>
        <v>-4.5906736340839416E-4</v>
      </c>
      <c r="D86" s="99">
        <f>40000-D84</f>
        <v>0</v>
      </c>
      <c r="E86" s="99">
        <f>100000-E84</f>
        <v>-4.5906734885647893E-4</v>
      </c>
      <c r="F86" s="88"/>
      <c r="G86" s="3"/>
      <c r="H86" s="3"/>
      <c r="I86" s="3"/>
      <c r="J86" s="3"/>
      <c r="K86" s="3"/>
      <c r="L86" s="3"/>
    </row>
    <row r="87" spans="1:13" s="1" customFormat="1" ht="18" x14ac:dyDescent="0.25">
      <c r="A87" s="15"/>
      <c r="B87" s="100" t="s">
        <v>74</v>
      </c>
      <c r="C87" s="101">
        <v>60000</v>
      </c>
      <c r="D87" s="101">
        <v>40000</v>
      </c>
      <c r="E87" s="101">
        <v>100000</v>
      </c>
      <c r="F87" s="89"/>
      <c r="G87" s="84"/>
      <c r="H87" s="85"/>
      <c r="J87" s="80"/>
      <c r="K87" s="81"/>
      <c r="L87" s="3"/>
    </row>
    <row r="88" spans="1:13" s="1" customFormat="1" ht="18" x14ac:dyDescent="0.3">
      <c r="A88" s="15"/>
      <c r="B88" s="102" t="s">
        <v>46</v>
      </c>
      <c r="C88" s="103">
        <v>0.6</v>
      </c>
      <c r="D88" s="103">
        <v>0.4</v>
      </c>
      <c r="E88" s="103">
        <f>SUM(C88:D88)</f>
        <v>1</v>
      </c>
      <c r="F88" s="63"/>
      <c r="G88" s="86"/>
      <c r="H88" s="93"/>
      <c r="I88" s="82"/>
      <c r="J88" s="82"/>
      <c r="K88" s="83"/>
      <c r="L88" s="8"/>
    </row>
    <row r="89" spans="1:13" s="1" customFormat="1" ht="34.5" x14ac:dyDescent="0.3">
      <c r="A89" s="15"/>
      <c r="B89" s="102" t="s">
        <v>95</v>
      </c>
      <c r="C89" s="2"/>
      <c r="D89" s="104"/>
      <c r="E89" s="104"/>
      <c r="F89" s="8"/>
      <c r="G89" s="3"/>
      <c r="H89" s="93"/>
      <c r="I89" s="81"/>
      <c r="J89" s="81"/>
      <c r="K89" s="81"/>
      <c r="L89" s="3"/>
    </row>
    <row r="90" spans="1:13" s="1" customFormat="1" ht="15" x14ac:dyDescent="0.25">
      <c r="A90" s="15"/>
      <c r="B90" s="7"/>
      <c r="D90" s="3"/>
      <c r="E90" s="3"/>
      <c r="F90" s="3"/>
      <c r="G90" s="3"/>
      <c r="H90" s="93"/>
      <c r="I90" s="3"/>
      <c r="J90" s="3"/>
      <c r="K90" s="3"/>
      <c r="L90" s="3"/>
    </row>
    <row r="91" spans="1:13" s="1" customFormat="1" ht="19.5" x14ac:dyDescent="0.25">
      <c r="A91" s="15"/>
      <c r="B91" s="7"/>
      <c r="D91" s="3"/>
      <c r="E91" s="75"/>
      <c r="F91" s="75"/>
      <c r="G91" s="3"/>
      <c r="H91" s="93"/>
      <c r="I91" s="3"/>
      <c r="J91" s="3"/>
      <c r="K91" s="3"/>
      <c r="L91" s="3"/>
    </row>
    <row r="92" spans="1:13" s="1" customFormat="1" ht="15" x14ac:dyDescent="0.25">
      <c r="A92" s="15"/>
      <c r="B92" s="7"/>
      <c r="D92" s="3"/>
      <c r="E92" s="3"/>
      <c r="F92" s="3"/>
      <c r="G92" s="3"/>
      <c r="H92" s="93"/>
      <c r="I92" s="3"/>
      <c r="J92" s="3"/>
      <c r="K92" s="3"/>
      <c r="L92" s="3"/>
    </row>
    <row r="93" spans="1:13" s="1" customFormat="1" ht="14.25" x14ac:dyDescent="0.25">
      <c r="A93" s="15"/>
      <c r="B93" s="7"/>
      <c r="D93" s="3"/>
      <c r="E93" s="3"/>
      <c r="F93" s="3"/>
      <c r="G93" s="3"/>
      <c r="H93" s="3"/>
      <c r="I93" s="3"/>
      <c r="J93" s="3"/>
      <c r="K93" s="3"/>
      <c r="L93" s="3"/>
    </row>
    <row r="94" spans="1:13" s="1" customFormat="1" ht="14.25" x14ac:dyDescent="0.25">
      <c r="A94" s="15"/>
      <c r="B94" s="7"/>
      <c r="D94" s="3"/>
      <c r="E94" s="3"/>
      <c r="F94" s="3"/>
      <c r="G94" s="3"/>
      <c r="H94" s="3"/>
      <c r="I94" s="3"/>
      <c r="J94" s="3"/>
      <c r="K94" s="3"/>
      <c r="L94" s="3"/>
    </row>
  </sheetData>
  <mergeCells count="19">
    <mergeCell ref="A77:B77"/>
    <mergeCell ref="I7:I10"/>
    <mergeCell ref="J7:J10"/>
    <mergeCell ref="K7:K10"/>
    <mergeCell ref="L7:L10"/>
    <mergeCell ref="A7:A10"/>
    <mergeCell ref="B7:B10"/>
    <mergeCell ref="C7:C10"/>
    <mergeCell ref="A1:M1"/>
    <mergeCell ref="A2:M2"/>
    <mergeCell ref="A3:M3"/>
    <mergeCell ref="A5:M5"/>
    <mergeCell ref="K6:L6"/>
    <mergeCell ref="M7:M10"/>
    <mergeCell ref="D7:D10"/>
    <mergeCell ref="E7:E10"/>
    <mergeCell ref="F7:F10"/>
    <mergeCell ref="G7:G10"/>
    <mergeCell ref="H7:H10"/>
  </mergeCells>
  <pageMargins left="0.31496062992125984" right="0.31496062992125984" top="0.39370078740157483" bottom="0.39370078740157483" header="0.31496062992125984" footer="0.31496062992125984"/>
  <pageSetup paperSize="9" scale="5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5121" r:id="rId4">
          <objectPr defaultSize="0" autoPict="0" r:id="rId5">
            <anchor moveWithCells="1" sizeWithCells="1">
              <from>
                <xdr:col>1</xdr:col>
                <xdr:colOff>2505075</xdr:colOff>
                <xdr:row>0</xdr:row>
                <xdr:rowOff>0</xdr:rowOff>
              </from>
              <to>
                <xdr:col>1</xdr:col>
                <xdr:colOff>2505075</xdr:colOff>
                <xdr:row>2</xdr:row>
                <xdr:rowOff>57150</xdr:rowOff>
              </to>
            </anchor>
          </objectPr>
        </oleObject>
      </mc:Choice>
      <mc:Fallback>
        <oleObject progId="Word.Picture.8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00"/>
  </sheetPr>
  <dimension ref="A1:N79"/>
  <sheetViews>
    <sheetView tabSelected="1" topLeftCell="A47" zoomScale="70" zoomScaleNormal="70" zoomScaleSheetLayoutView="51" workbookViewId="0">
      <selection activeCell="B57" sqref="B57"/>
    </sheetView>
  </sheetViews>
  <sheetFormatPr defaultRowHeight="12.75" x14ac:dyDescent="0.2"/>
  <cols>
    <col min="1" max="1" width="9" style="16" customWidth="1"/>
    <col min="2" max="2" width="86.42578125" style="9" customWidth="1"/>
    <col min="3" max="3" width="18.5703125" customWidth="1"/>
    <col min="4" max="4" width="11" style="10" customWidth="1"/>
    <col min="5" max="5" width="14.140625" style="10" customWidth="1"/>
    <col min="6" max="10" width="16.7109375" style="10" customWidth="1"/>
    <col min="11" max="11" width="19.85546875" customWidth="1"/>
  </cols>
  <sheetData>
    <row r="1" spans="1:12" s="1" customFormat="1" ht="18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2" s="1" customFormat="1" ht="18" x14ac:dyDescent="0.2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2" s="1" customFormat="1" ht="18" x14ac:dyDescent="0.2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2" s="1" customFormat="1" ht="15.75" x14ac:dyDescent="0.25">
      <c r="A4" s="47"/>
      <c r="B4" s="64"/>
      <c r="C4" s="48"/>
      <c r="D4" s="49"/>
      <c r="E4" s="49"/>
      <c r="F4" s="69"/>
      <c r="G4" s="49"/>
      <c r="H4" s="49"/>
      <c r="I4" s="49"/>
      <c r="J4" s="49"/>
      <c r="K4" s="11"/>
    </row>
    <row r="5" spans="1:12" s="1" customFormat="1" ht="20.25" x14ac:dyDescent="0.3">
      <c r="A5" s="108" t="s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2" s="1" customFormat="1" ht="17.25" x14ac:dyDescent="0.3">
      <c r="A6" s="13"/>
      <c r="B6" s="65"/>
      <c r="D6" s="3"/>
      <c r="E6" s="3"/>
      <c r="F6" s="3"/>
      <c r="G6" s="3"/>
      <c r="H6" s="3"/>
      <c r="I6" s="109" t="s">
        <v>151</v>
      </c>
      <c r="J6" s="109"/>
    </row>
    <row r="7" spans="1:12" s="1" customFormat="1" ht="20.45" customHeight="1" x14ac:dyDescent="0.25">
      <c r="A7" s="106" t="s">
        <v>4</v>
      </c>
      <c r="B7" s="106" t="s">
        <v>5</v>
      </c>
      <c r="C7" s="106" t="s">
        <v>6</v>
      </c>
      <c r="D7" s="106" t="s">
        <v>8</v>
      </c>
      <c r="E7" s="106" t="s">
        <v>94</v>
      </c>
      <c r="F7" s="106" t="s">
        <v>55</v>
      </c>
      <c r="G7" s="106" t="s">
        <v>56</v>
      </c>
      <c r="H7" s="106" t="s">
        <v>57</v>
      </c>
      <c r="I7" s="106" t="s">
        <v>58</v>
      </c>
      <c r="J7" s="106" t="s">
        <v>59</v>
      </c>
      <c r="K7" s="106" t="s">
        <v>60</v>
      </c>
    </row>
    <row r="8" spans="1:12" s="1" customFormat="1" ht="20.45" customHeight="1" x14ac:dyDescent="0.2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2" s="1" customFormat="1" ht="20.45" customHeight="1" x14ac:dyDescent="0.25">
      <c r="A9" s="106"/>
      <c r="B9" s="106"/>
      <c r="C9" s="106"/>
      <c r="D9" s="106" t="s">
        <v>9</v>
      </c>
      <c r="E9" s="106" t="s">
        <v>9</v>
      </c>
      <c r="F9" s="106"/>
      <c r="G9" s="106"/>
      <c r="H9" s="106"/>
      <c r="I9" s="106"/>
      <c r="J9" s="106"/>
      <c r="K9" s="106"/>
    </row>
    <row r="10" spans="1:12" s="1" customFormat="1" ht="20.45" customHeight="1" x14ac:dyDescent="0.2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2" s="18" customFormat="1" ht="36.6" customHeight="1" x14ac:dyDescent="0.25">
      <c r="A11" s="28">
        <v>1</v>
      </c>
      <c r="B11" s="28" t="s">
        <v>156</v>
      </c>
      <c r="C11" s="21">
        <f>SUM(C12:C23)</f>
        <v>27615.140276683942</v>
      </c>
      <c r="D11" s="57">
        <f>C11/$C$62</f>
        <v>0.51332315534813733</v>
      </c>
      <c r="E11" s="57">
        <f>C11/$C$69</f>
        <v>0.46025233442328528</v>
      </c>
      <c r="F11" s="21">
        <f t="shared" ref="F11:K11" si="0">SUM(F12:F23)</f>
        <v>1245.0202124352331</v>
      </c>
      <c r="G11" s="21">
        <f t="shared" si="0"/>
        <v>2278.71</v>
      </c>
      <c r="H11" s="21">
        <f t="shared" si="0"/>
        <v>5687.5</v>
      </c>
      <c r="I11" s="21">
        <f t="shared" si="0"/>
        <v>10323</v>
      </c>
      <c r="J11" s="21">
        <f t="shared" si="0"/>
        <v>8080.91</v>
      </c>
      <c r="K11" s="21">
        <f t="shared" si="0"/>
        <v>27615.140212435235</v>
      </c>
      <c r="L11" s="96">
        <f>SUM(F11:J11)</f>
        <v>27615.140212435235</v>
      </c>
    </row>
    <row r="12" spans="1:12" s="5" customFormat="1" ht="39" customHeight="1" x14ac:dyDescent="0.25">
      <c r="A12" s="36" t="str">
        <f>'INVERSIONES Y CRONOGRAMA.'!A16</f>
        <v>1.3</v>
      </c>
      <c r="B12" s="36" t="str">
        <f>'INVERSIONES Y CRONOGRAMA.'!B16</f>
        <v>Execução do Plano de Capacitação profissional e  empresarial para o Turismo</v>
      </c>
      <c r="C12" s="97">
        <f>'INVERSIONES Y CRONOGRAMA.'!C16</f>
        <v>2590.6799999999998</v>
      </c>
      <c r="D12" s="71">
        <f t="shared" ref="D12:D68" si="1">C12/$C$62</f>
        <v>4.815677265344686E-2</v>
      </c>
      <c r="E12" s="70">
        <f>C12/$C$69</f>
        <v>4.3177999669639824E-2</v>
      </c>
      <c r="F12" s="94">
        <v>150</v>
      </c>
      <c r="G12" s="94">
        <v>600</v>
      </c>
      <c r="H12" s="94">
        <v>600</v>
      </c>
      <c r="I12" s="94">
        <v>600</v>
      </c>
      <c r="J12" s="94">
        <v>640.67999999999995</v>
      </c>
      <c r="K12" s="42">
        <f>SUM(F12:J12)</f>
        <v>2590.6799999999998</v>
      </c>
    </row>
    <row r="13" spans="1:12" s="5" customFormat="1" ht="54" customHeight="1" x14ac:dyDescent="0.25">
      <c r="A13" s="36" t="str">
        <f>'INVERSIONES Y CRONOGRAMA.'!A17</f>
        <v>1.4</v>
      </c>
      <c r="B13" s="36" t="str">
        <f>'INVERSIONES Y CRONOGRAMA.'!B17</f>
        <v>Estudos de inclusão social em turismo; diagnóstico e plano de incentivos a la formalização; e assistência técnica a empresas turísticas para melhoria da qualidade dos serviços, gestão ambiental e responsabilidade social</v>
      </c>
      <c r="C13" s="97">
        <f>'INVERSIONES Y CRONOGRAMA.'!C17</f>
        <v>1000</v>
      </c>
      <c r="D13" s="71">
        <f t="shared" si="1"/>
        <v>1.8588468144829489E-2</v>
      </c>
      <c r="E13" s="70">
        <f>C13/$C$69</f>
        <v>1.6666666539147956E-2</v>
      </c>
      <c r="F13" s="94">
        <v>100</v>
      </c>
      <c r="G13" s="94">
        <v>300</v>
      </c>
      <c r="H13" s="94">
        <v>300</v>
      </c>
      <c r="I13" s="94">
        <v>200</v>
      </c>
      <c r="J13" s="94">
        <v>100</v>
      </c>
      <c r="K13" s="42">
        <f>SUM(F13:J13)</f>
        <v>1000</v>
      </c>
    </row>
    <row r="14" spans="1:12" s="5" customFormat="1" ht="33" customHeight="1" x14ac:dyDescent="0.25">
      <c r="A14" s="36" t="str">
        <f>'INVERSIONES Y CRONOGRAMA.'!A18</f>
        <v>1.5</v>
      </c>
      <c r="B14" s="36" t="str">
        <f>'INVERSIONES Y CRONOGRAMA.'!B18</f>
        <v>Fomento à qualidade do artesanato adequado à demanda turística</v>
      </c>
      <c r="C14" s="97">
        <f>'INVERSIONES Y CRONOGRAMA.'!C18</f>
        <v>500</v>
      </c>
      <c r="D14" s="71">
        <f t="shared" si="1"/>
        <v>9.2942340724147445E-3</v>
      </c>
      <c r="E14" s="70">
        <f>C14/$C$69</f>
        <v>8.3333332695739778E-3</v>
      </c>
      <c r="F14" s="79">
        <v>0</v>
      </c>
      <c r="G14" s="94">
        <v>125</v>
      </c>
      <c r="H14" s="94">
        <v>125</v>
      </c>
      <c r="I14" s="94">
        <v>125</v>
      </c>
      <c r="J14" s="94">
        <v>125</v>
      </c>
      <c r="K14" s="42">
        <f>SUM(F14:J14)</f>
        <v>500</v>
      </c>
    </row>
    <row r="15" spans="1:12" s="5" customFormat="1" ht="44.25" customHeight="1" x14ac:dyDescent="0.25">
      <c r="A15" s="36" t="str">
        <f>'INVERSIONES Y CRONOGRAMA.'!A19</f>
        <v>1.6</v>
      </c>
      <c r="B15" s="36" t="str">
        <f>'INVERSIONES Y CRONOGRAMA.'!B19</f>
        <v>Revitalização do Complexo Turístico SE, compreendendo inclusive o Museu do Artesanato e o Centro de Informações Turísticas</v>
      </c>
      <c r="C15" s="97">
        <f>'INVERSIONES Y CRONOGRAMA.'!C19</f>
        <v>295.02021243523313</v>
      </c>
      <c r="D15" s="71">
        <f t="shared" si="1"/>
        <v>5.4839738209331596E-3</v>
      </c>
      <c r="E15" s="70">
        <f t="shared" ref="E15:E68" si="2">C15/$C$69</f>
        <v>4.917003502966622E-3</v>
      </c>
      <c r="F15" s="94">
        <f>C15</f>
        <v>295.02021243523313</v>
      </c>
      <c r="G15" s="79">
        <v>0</v>
      </c>
      <c r="H15" s="79">
        <v>0</v>
      </c>
      <c r="I15" s="79">
        <v>0</v>
      </c>
      <c r="J15" s="79">
        <v>0</v>
      </c>
      <c r="K15" s="42">
        <f>SUM(F15:J15)</f>
        <v>295.02021243523313</v>
      </c>
    </row>
    <row r="16" spans="1:12" s="5" customFormat="1" ht="56.25" customHeight="1" x14ac:dyDescent="0.25">
      <c r="A16" s="36" t="str">
        <f>'INVERSIONES Y CRONOGRAMA.'!A20</f>
        <v>1.7</v>
      </c>
      <c r="B16" s="36" t="str">
        <f>'INVERSIONES Y CRONOGRAMA.'!B20</f>
        <v>Estratégia de roteiros e produtos históricos culturais e adequação e modernização de museus (programação visual, equipamentos interativos, etc.)</v>
      </c>
      <c r="C16" s="97">
        <f>'INVERSIONES Y CRONOGRAMA.'!C20</f>
        <v>155</v>
      </c>
      <c r="D16" s="71">
        <f t="shared" si="1"/>
        <v>2.881212562448571E-3</v>
      </c>
      <c r="E16" s="70">
        <f t="shared" si="2"/>
        <v>2.5833333135679331E-3</v>
      </c>
      <c r="F16" s="79">
        <v>0</v>
      </c>
      <c r="G16" s="94">
        <v>155</v>
      </c>
      <c r="H16" s="39">
        <v>0</v>
      </c>
      <c r="I16" s="39">
        <v>0</v>
      </c>
      <c r="J16" s="39">
        <v>0</v>
      </c>
      <c r="K16" s="42">
        <f>SUM(F16:J16)</f>
        <v>155</v>
      </c>
    </row>
    <row r="17" spans="1:14" s="6" customFormat="1" ht="30.75" customHeight="1" x14ac:dyDescent="0.25">
      <c r="A17" s="37" t="str">
        <f>'INVERSIONES Y CRONOGRAMA.'!A24</f>
        <v>1.9</v>
      </c>
      <c r="B17" s="37" t="str">
        <f>'INVERSIONES Y CRONOGRAMA.'!B24</f>
        <v>Construção do Centro de Referência do Cangaço (Poço Redondo - SE)</v>
      </c>
      <c r="C17" s="39">
        <f>'INVERSIONES Y CRONOGRAMA.'!C24</f>
        <v>705</v>
      </c>
      <c r="D17" s="71">
        <f t="shared" si="1"/>
        <v>1.310487004210479E-2</v>
      </c>
      <c r="E17" s="70">
        <f t="shared" si="2"/>
        <v>1.1749999910099309E-2</v>
      </c>
      <c r="F17" s="79">
        <v>0</v>
      </c>
      <c r="G17" s="94">
        <f>C17/2</f>
        <v>352.5</v>
      </c>
      <c r="H17" s="94">
        <v>352.5</v>
      </c>
      <c r="I17" s="79">
        <v>0</v>
      </c>
      <c r="J17" s="79">
        <v>0</v>
      </c>
      <c r="K17" s="53">
        <f t="shared" ref="K17:K21" si="3">SUM(F17:J17)</f>
        <v>705</v>
      </c>
    </row>
    <row r="18" spans="1:14" s="5" customFormat="1" ht="39.75" customHeight="1" x14ac:dyDescent="0.25">
      <c r="A18" s="37" t="str">
        <f>'INVERSIONES Y CRONOGRAMA.'!A25</f>
        <v>1.10</v>
      </c>
      <c r="B18" s="37" t="str">
        <f>'INVERSIONES Y CRONOGRAMA.'!B25</f>
        <v>Elaboração de projetos e execução da adequação urbanística e delimitações das praias do APA Litoral Sul</v>
      </c>
      <c r="C18" s="39">
        <f>'INVERSIONES Y CRONOGRAMA.'!C25</f>
        <v>6200</v>
      </c>
      <c r="D18" s="71">
        <f t="shared" si="1"/>
        <v>0.11524850249794284</v>
      </c>
      <c r="E18" s="70">
        <f t="shared" si="2"/>
        <v>0.10333333254271733</v>
      </c>
      <c r="F18" s="94">
        <f>100</f>
        <v>100</v>
      </c>
      <c r="G18" s="94">
        <v>100</v>
      </c>
      <c r="H18" s="94">
        <v>1500</v>
      </c>
      <c r="I18" s="94">
        <v>2500</v>
      </c>
      <c r="J18" s="94">
        <v>2000</v>
      </c>
      <c r="K18" s="42">
        <f t="shared" si="3"/>
        <v>6200</v>
      </c>
    </row>
    <row r="19" spans="1:14" s="5" customFormat="1" ht="46.5" customHeight="1" x14ac:dyDescent="0.25">
      <c r="A19" s="37" t="str">
        <f>'INVERSIONES Y CRONOGRAMA.'!A28</f>
        <v>1.11</v>
      </c>
      <c r="B19" s="37" t="str">
        <f>'INVERSIONES Y CRONOGRAMA.'!B28</f>
        <v>Estudo y estrategia de circuitos de ecoturismo no Rio São Francisco e Costa marítima atendida pelo programa.</v>
      </c>
      <c r="C19" s="39">
        <f>'INVERSIONES Y CRONOGRAMA.'!C28</f>
        <v>173.21111347150259</v>
      </c>
      <c r="D19" s="71">
        <f t="shared" si="1"/>
        <v>3.2197292650954718E-3</v>
      </c>
      <c r="E19" s="70">
        <f t="shared" si="2"/>
        <v>2.8868518691040519E-3</v>
      </c>
      <c r="F19" s="79">
        <v>0</v>
      </c>
      <c r="G19" s="94">
        <v>173.21</v>
      </c>
      <c r="H19" s="79">
        <v>0</v>
      </c>
      <c r="I19" s="79">
        <v>0</v>
      </c>
      <c r="J19" s="79">
        <v>0</v>
      </c>
      <c r="K19" s="42">
        <f t="shared" si="3"/>
        <v>173.21</v>
      </c>
    </row>
    <row r="20" spans="1:14" s="5" customFormat="1" ht="47.25" customHeight="1" x14ac:dyDescent="0.25">
      <c r="A20" s="37" t="str">
        <f>'INVERSIONES Y CRONOGRAMA.'!A29</f>
        <v>1.12</v>
      </c>
      <c r="B20" s="37" t="str">
        <f>'INVERSIONES Y CRONOGRAMA.'!B29</f>
        <v>Obras para roteiros de ecoturismo no Rio São Francisco e Costa marítima atendida pelo programa.</v>
      </c>
      <c r="C20" s="39">
        <f>'INVERSIONES Y CRONOGRAMA.'!C29</f>
        <v>5923.9889507772023</v>
      </c>
      <c r="D20" s="71">
        <f t="shared" si="1"/>
        <v>0.11011787990184389</v>
      </c>
      <c r="E20" s="70">
        <f t="shared" si="2"/>
        <v>9.8733148424200598E-2</v>
      </c>
      <c r="F20" s="79">
        <v>0</v>
      </c>
      <c r="G20" s="79">
        <v>0</v>
      </c>
      <c r="H20" s="94">
        <v>1500</v>
      </c>
      <c r="I20" s="94">
        <v>3500</v>
      </c>
      <c r="J20" s="94">
        <v>923.99</v>
      </c>
      <c r="K20" s="42">
        <f t="shared" si="3"/>
        <v>5923.99</v>
      </c>
    </row>
    <row r="21" spans="1:14" s="5" customFormat="1" ht="45" customHeight="1" x14ac:dyDescent="0.25">
      <c r="A21" s="37" t="str">
        <f>'INVERSIONES Y CRONOGRAMA.'!A30</f>
        <v>1.13</v>
      </c>
      <c r="B21" s="37" t="str">
        <f>'INVERSIONES Y CRONOGRAMA.'!B30</f>
        <v>Elaboração do estudo de viabilidade turística (análise de paisagem) da ação de complementação da rota paisagística APA Litoral Norte</v>
      </c>
      <c r="C21" s="39">
        <f>'INVERSIONES Y CRONOGRAMA.'!C30</f>
        <v>600</v>
      </c>
      <c r="D21" s="71">
        <f t="shared" si="1"/>
        <v>1.1153080886897693E-2</v>
      </c>
      <c r="E21" s="70">
        <f t="shared" si="2"/>
        <v>9.999999923488774E-3</v>
      </c>
      <c r="F21" s="94">
        <v>300</v>
      </c>
      <c r="G21" s="94">
        <v>300</v>
      </c>
      <c r="H21" s="79">
        <v>0</v>
      </c>
      <c r="I21" s="79">
        <v>0</v>
      </c>
      <c r="J21" s="79">
        <v>0</v>
      </c>
      <c r="K21" s="53">
        <f t="shared" si="3"/>
        <v>600</v>
      </c>
    </row>
    <row r="22" spans="1:14" s="5" customFormat="1" ht="30.75" customHeight="1" x14ac:dyDescent="0.25">
      <c r="A22" s="37" t="str">
        <f>'INVERSIONES Y CRONOGRAMA.'!A31</f>
        <v>1.14</v>
      </c>
      <c r="B22" s="37" t="str">
        <f>'INVERSIONES Y CRONOGRAMA.'!B31</f>
        <v>Adequações turística e ambiental da rota natural e paisagística do APA Litoral Norte</v>
      </c>
      <c r="C22" s="39">
        <f>'INVERSIONES Y CRONOGRAMA.'!C31</f>
        <v>8000</v>
      </c>
      <c r="D22" s="71">
        <f t="shared" si="1"/>
        <v>0.14870774515863591</v>
      </c>
      <c r="E22" s="70">
        <f t="shared" si="2"/>
        <v>0.13333333231318364</v>
      </c>
      <c r="F22" s="79">
        <v>0</v>
      </c>
      <c r="G22" s="79">
        <v>0</v>
      </c>
      <c r="H22" s="94">
        <v>1000</v>
      </c>
      <c r="I22" s="94">
        <v>3000</v>
      </c>
      <c r="J22" s="94">
        <v>4000</v>
      </c>
      <c r="K22" s="53">
        <f>SUM(F22:J22)</f>
        <v>8000</v>
      </c>
    </row>
    <row r="23" spans="1:14" s="5" customFormat="1" ht="51" customHeight="1" x14ac:dyDescent="0.25">
      <c r="A23" s="37" t="str">
        <f>'INVERSIONES Y CRONOGRAMA.'!A32</f>
        <v>1.15</v>
      </c>
      <c r="B23" s="37" t="str">
        <f>'INVERSIONES Y CRONOGRAMA.'!B32</f>
        <v>Elaboração e implementação de projetos de valoriazação de atrativos e roteirização turística nos quatro destinos prioritários dos Polos Costa dos Coqueirais e Velho Chico</v>
      </c>
      <c r="C23" s="39">
        <f>'INVERSIONES Y CRONOGRAMA.'!C32</f>
        <v>1472.24</v>
      </c>
      <c r="D23" s="71">
        <f t="shared" si="1"/>
        <v>2.7366686341543767E-2</v>
      </c>
      <c r="E23" s="70">
        <f t="shared" si="2"/>
        <v>2.4537333145595187E-2</v>
      </c>
      <c r="F23" s="94">
        <v>300</v>
      </c>
      <c r="G23" s="94">
        <v>173</v>
      </c>
      <c r="H23" s="94">
        <v>310</v>
      </c>
      <c r="I23" s="94">
        <v>398</v>
      </c>
      <c r="J23" s="94">
        <v>291.24</v>
      </c>
      <c r="K23" s="53">
        <f>SUM(F23:J23)</f>
        <v>1472.24</v>
      </c>
    </row>
    <row r="24" spans="1:14" s="18" customFormat="1" ht="36" customHeight="1" x14ac:dyDescent="0.25">
      <c r="A24" s="19">
        <v>2</v>
      </c>
      <c r="B24" s="19" t="s">
        <v>155</v>
      </c>
      <c r="C24" s="20">
        <f>SUM(C25:C27)</f>
        <v>6217.6209310880813</v>
      </c>
      <c r="D24" s="57">
        <f t="shared" si="1"/>
        <v>0.11557604861415587</v>
      </c>
      <c r="E24" s="57">
        <f t="shared" si="2"/>
        <v>0.10362701472527168</v>
      </c>
      <c r="F24" s="20">
        <f t="shared" ref="F24:J24" si="4">SUM(F25:F27)</f>
        <v>0</v>
      </c>
      <c r="G24" s="20">
        <f t="shared" si="4"/>
        <v>518.14</v>
      </c>
      <c r="H24" s="20">
        <f t="shared" si="4"/>
        <v>1899.84</v>
      </c>
      <c r="I24" s="20">
        <f t="shared" si="4"/>
        <v>1899.84</v>
      </c>
      <c r="J24" s="20">
        <f t="shared" si="4"/>
        <v>1899.84</v>
      </c>
      <c r="K24" s="20">
        <f>SUM(K25:K27)</f>
        <v>6217.66</v>
      </c>
      <c r="L24" s="18">
        <f>SUM(F24:J24)</f>
        <v>6217.66</v>
      </c>
    </row>
    <row r="25" spans="1:14" s="5" customFormat="1" ht="27.75" customHeight="1" x14ac:dyDescent="0.25">
      <c r="A25" s="37" t="str">
        <f>'INVERSIONES Y CRONOGRAMA.'!A34</f>
        <v>2.1</v>
      </c>
      <c r="B25" s="37" t="str">
        <f>'INVERSIONES Y CRONOGRAMA.'!B34</f>
        <v>Revisão e complementação do Plano de Marketing</v>
      </c>
      <c r="C25" s="39">
        <f>'INVERSIONES Y CRONOGRAMA.'!C34</f>
        <v>518.13737202072537</v>
      </c>
      <c r="D25" s="71">
        <f t="shared" si="1"/>
        <v>9.6313800344529198E-3</v>
      </c>
      <c r="E25" s="70">
        <f t="shared" si="2"/>
        <v>8.6356228009398794E-3</v>
      </c>
      <c r="F25" s="79">
        <v>0</v>
      </c>
      <c r="G25" s="94">
        <v>518.14</v>
      </c>
      <c r="H25" s="79">
        <v>0</v>
      </c>
      <c r="I25" s="79">
        <v>0</v>
      </c>
      <c r="J25" s="79">
        <v>0</v>
      </c>
      <c r="K25" s="42">
        <f>SUM(F25:J25)</f>
        <v>518.14</v>
      </c>
    </row>
    <row r="26" spans="1:14" s="5" customFormat="1" ht="33" customHeight="1" x14ac:dyDescent="0.25">
      <c r="A26" s="37" t="str">
        <f>'INVERSIONES Y CRONOGRAMA.'!A35</f>
        <v>2.2</v>
      </c>
      <c r="B26" s="37" t="str">
        <f>'INVERSIONES Y CRONOGRAMA.'!B35</f>
        <v>Execução do Plano de Marketing</v>
      </c>
      <c r="C26" s="39">
        <f>'INVERSIONES Y CRONOGRAMA.'!C35</f>
        <v>5181.3461870466299</v>
      </c>
      <c r="D26" s="71">
        <f t="shared" si="1"/>
        <v>9.6313288545250023E-2</v>
      </c>
      <c r="E26" s="70">
        <f t="shared" si="2"/>
        <v>8.6355769123391907E-2</v>
      </c>
      <c r="F26" s="79">
        <v>0</v>
      </c>
      <c r="G26" s="79">
        <v>0</v>
      </c>
      <c r="H26" s="94">
        <v>1727.12</v>
      </c>
      <c r="I26" s="94">
        <v>1727.12</v>
      </c>
      <c r="J26" s="94">
        <v>1727.12</v>
      </c>
      <c r="K26" s="42">
        <f>SUM(F26:J26)</f>
        <v>5181.3599999999997</v>
      </c>
      <c r="N26" s="87"/>
    </row>
    <row r="27" spans="1:14" s="5" customFormat="1" ht="27.75" customHeight="1" x14ac:dyDescent="0.25">
      <c r="A27" s="37" t="str">
        <f>'INVERSIONES Y CRONOGRAMA.'!A36</f>
        <v>2.3</v>
      </c>
      <c r="B27" s="37" t="str">
        <f>'INVERSIONES Y CRONOGRAMA.'!B36</f>
        <v>Monitoramento do Plano de Marketing</v>
      </c>
      <c r="C27" s="39">
        <f>'INVERSIONES Y CRONOGRAMA.'!C36</f>
        <v>518.13737202072537</v>
      </c>
      <c r="D27" s="71">
        <f t="shared" si="1"/>
        <v>9.6313800344529198E-3</v>
      </c>
      <c r="E27" s="70">
        <f t="shared" si="2"/>
        <v>8.6356228009398794E-3</v>
      </c>
      <c r="F27" s="79">
        <v>0</v>
      </c>
      <c r="G27" s="79">
        <v>0</v>
      </c>
      <c r="H27" s="94">
        <v>172.72</v>
      </c>
      <c r="I27" s="94">
        <v>172.72</v>
      </c>
      <c r="J27" s="94">
        <v>172.72</v>
      </c>
      <c r="K27" s="53">
        <f>SUM(F27:J27)</f>
        <v>518.16</v>
      </c>
      <c r="N27" s="87"/>
    </row>
    <row r="28" spans="1:14" s="18" customFormat="1" ht="37.9" customHeight="1" x14ac:dyDescent="0.25">
      <c r="A28" s="22">
        <v>3</v>
      </c>
      <c r="B28" s="22" t="s">
        <v>25</v>
      </c>
      <c r="C28" s="23">
        <f>SUM(C29:C36,C38)</f>
        <v>5562.8519528497409</v>
      </c>
      <c r="D28" s="57">
        <f t="shared" si="1"/>
        <v>0.10340489631994992</v>
      </c>
      <c r="E28" s="57">
        <f t="shared" si="2"/>
        <v>9.2714198504794634E-2</v>
      </c>
      <c r="F28" s="23">
        <f t="shared" ref="F28:K28" si="5">SUM(F29:F36,F38)</f>
        <v>696.26325699481868</v>
      </c>
      <c r="G28" s="23">
        <f t="shared" si="5"/>
        <v>956.54160621761673</v>
      </c>
      <c r="H28" s="23">
        <f t="shared" si="5"/>
        <v>1284.7516062176167</v>
      </c>
      <c r="I28" s="23">
        <f t="shared" si="5"/>
        <v>1535.9336461139897</v>
      </c>
      <c r="J28" s="23">
        <f t="shared" si="5"/>
        <v>1089.3672020725389</v>
      </c>
      <c r="K28" s="23">
        <f t="shared" si="5"/>
        <v>5562.8573176165801</v>
      </c>
      <c r="L28" s="96">
        <f>SUM(F28:J28)</f>
        <v>5562.857317616581</v>
      </c>
    </row>
    <row r="29" spans="1:14" s="5" customFormat="1" ht="58.5" customHeight="1" x14ac:dyDescent="0.25">
      <c r="A29" s="37" t="str">
        <f>'INVERSIONES Y CRONOGRAMA.'!A38</f>
        <v>3.1</v>
      </c>
      <c r="B29" s="37" t="str">
        <f>'INVERSIONES Y CRONOGRAMA.'!B38</f>
        <v>Implantação do sistema de informações turísticas (inventariação turística, estudos e pesquisas de demanda, oferta, dados socioeconômicos do turismo) para turismo sol e praia, turismo cultural e ecoturismo.</v>
      </c>
      <c r="C29" s="39">
        <f>'INVERSIONES Y CRONOGRAMA.'!C38</f>
        <v>1347.1516606217617</v>
      </c>
      <c r="D29" s="71">
        <f t="shared" si="1"/>
        <v>2.5041485729721764E-2</v>
      </c>
      <c r="E29" s="70">
        <f t="shared" si="2"/>
        <v>2.245252750524232E-2</v>
      </c>
      <c r="F29" s="94">
        <v>269.43</v>
      </c>
      <c r="G29" s="94">
        <v>269.43</v>
      </c>
      <c r="H29" s="94">
        <v>269.43</v>
      </c>
      <c r="I29" s="94">
        <v>269.43</v>
      </c>
      <c r="J29" s="94">
        <v>269.43</v>
      </c>
      <c r="K29" s="42">
        <f>SUM(F29:J29)</f>
        <v>1347.15</v>
      </c>
    </row>
    <row r="30" spans="1:14" s="5" customFormat="1" ht="33" customHeight="1" x14ac:dyDescent="0.25">
      <c r="A30" s="37" t="str">
        <f>'INVERSIONES Y CRONOGRAMA.'!A39</f>
        <v>3.2</v>
      </c>
      <c r="B30" s="37" t="str">
        <f>'INVERSIONES Y CRONOGRAMA.'!B39</f>
        <v>Revisão e atualização do PDITS Costa dos Coqueirais e Velho Chico</v>
      </c>
      <c r="C30" s="39">
        <f>'INVERSIONES Y CRONOGRAMA.'!C39</f>
        <v>259.06868601036268</v>
      </c>
      <c r="D30" s="71">
        <f t="shared" si="1"/>
        <v>4.8156900172264599E-3</v>
      </c>
      <c r="E30" s="70">
        <f t="shared" si="2"/>
        <v>4.3178114004699397E-3</v>
      </c>
      <c r="F30" s="79">
        <v>0</v>
      </c>
      <c r="G30" s="94">
        <v>91.78</v>
      </c>
      <c r="H30" s="94">
        <v>167.29</v>
      </c>
      <c r="I30" s="79">
        <v>0</v>
      </c>
      <c r="J30" s="79">
        <v>0</v>
      </c>
      <c r="K30" s="53">
        <f>SUM(F30:J30)</f>
        <v>259.07</v>
      </c>
    </row>
    <row r="31" spans="1:14" s="5" customFormat="1" ht="32.25" customHeight="1" x14ac:dyDescent="0.25">
      <c r="A31" s="37" t="str">
        <f>'INVERSIONES Y CRONOGRAMA.'!A40</f>
        <v>3.3</v>
      </c>
      <c r="B31" s="37" t="str">
        <f>'INVERSIONES Y CRONOGRAMA.'!B40</f>
        <v>Elaboração do Plano de Gestão dos Destinos Turísticos</v>
      </c>
      <c r="C31" s="39">
        <f>'INVERSIONES Y CRONOGRAMA.'!C40</f>
        <v>310.87691658031093</v>
      </c>
      <c r="D31" s="71">
        <f t="shared" si="1"/>
        <v>5.7787256608159247E-3</v>
      </c>
      <c r="E31" s="70">
        <f t="shared" si="2"/>
        <v>5.1812819033625586E-3</v>
      </c>
      <c r="F31" s="79">
        <v>0</v>
      </c>
      <c r="G31" s="79">
        <v>0</v>
      </c>
      <c r="H31" s="79">
        <v>0</v>
      </c>
      <c r="I31" s="94">
        <v>155.44</v>
      </c>
      <c r="J31" s="94">
        <v>155.44</v>
      </c>
      <c r="K31" s="42">
        <f>SUM(F31:J31)</f>
        <v>310.88</v>
      </c>
    </row>
    <row r="32" spans="1:14" s="5" customFormat="1" ht="46.5" customHeight="1" x14ac:dyDescent="0.25">
      <c r="A32" s="37" t="str">
        <f>'INVERSIONES Y CRONOGRAMA.'!A41</f>
        <v>3.4</v>
      </c>
      <c r="B32" s="37" t="str">
        <f>'INVERSIONES Y CRONOGRAMA.'!B41</f>
        <v>Elaboração dos Planos Diretores  municipais (Pirambu, Brejo Grande e Santana do São Francisco)</v>
      </c>
      <c r="C32" s="39">
        <f>'INVERSIONES Y CRONOGRAMA.'!C41</f>
        <v>533.67525233160632</v>
      </c>
      <c r="D32" s="71">
        <f t="shared" si="1"/>
        <v>9.9202054276499047E-3</v>
      </c>
      <c r="E32" s="70">
        <f t="shared" si="2"/>
        <v>8.8945874708065246E-3</v>
      </c>
      <c r="F32" s="79">
        <v>0</v>
      </c>
      <c r="G32" s="94">
        <v>183.55440414507774</v>
      </c>
      <c r="H32" s="94">
        <v>183.55440414507774</v>
      </c>
      <c r="I32" s="94">
        <v>166.56644404145081</v>
      </c>
      <c r="J32" s="79">
        <v>0</v>
      </c>
      <c r="K32" s="42">
        <f>SUM(G32:J32)</f>
        <v>533.67525233160632</v>
      </c>
    </row>
    <row r="33" spans="1:12" s="5" customFormat="1" ht="43.5" customHeight="1" x14ac:dyDescent="0.25">
      <c r="A33" s="37" t="str">
        <f>'INVERSIONES Y CRONOGRAMA.'!A42</f>
        <v>3.5</v>
      </c>
      <c r="B33" s="37" t="str">
        <f>'INVERSIONES Y CRONOGRAMA.'!B42</f>
        <v>Elaboração de diagnósticos e planos da gestão municipal do turismo e incentivos para fiscalização</v>
      </c>
      <c r="C33" s="39">
        <f>'INVERSIONES Y CRONOGRAMA.'!C42</f>
        <v>120</v>
      </c>
      <c r="D33" s="71">
        <f t="shared" si="1"/>
        <v>2.2306161773795389E-3</v>
      </c>
      <c r="E33" s="70">
        <f t="shared" si="2"/>
        <v>1.9999999846977545E-3</v>
      </c>
      <c r="F33" s="79">
        <v>0</v>
      </c>
      <c r="G33" s="94">
        <v>120</v>
      </c>
      <c r="H33" s="79">
        <v>0</v>
      </c>
      <c r="I33" s="79">
        <v>0</v>
      </c>
      <c r="J33" s="79">
        <v>0</v>
      </c>
      <c r="K33" s="42">
        <f>SUM(F33:J33)</f>
        <v>120</v>
      </c>
    </row>
    <row r="34" spans="1:12" s="5" customFormat="1" ht="37.5" customHeight="1" x14ac:dyDescent="0.25">
      <c r="A34" s="37" t="str">
        <f>'INVERSIONES Y CRONOGRAMA.'!A43</f>
        <v>3.6</v>
      </c>
      <c r="B34" s="37" t="str">
        <f>'INVERSIONES Y CRONOGRAMA.'!B43</f>
        <v>Implementação do planos de fortalecimento de gestão municipal do turismo</v>
      </c>
      <c r="C34" s="39">
        <f>'INVERSIONES Y CRONOGRAMA.'!C43</f>
        <v>518.13737202072537</v>
      </c>
      <c r="D34" s="71">
        <f t="shared" si="1"/>
        <v>9.6313800344529198E-3</v>
      </c>
      <c r="E34" s="70">
        <f t="shared" si="2"/>
        <v>8.6356228009398794E-3</v>
      </c>
      <c r="F34" s="79">
        <v>0</v>
      </c>
      <c r="G34" s="79">
        <v>0</v>
      </c>
      <c r="H34" s="94">
        <v>172.7</v>
      </c>
      <c r="I34" s="94">
        <v>172.72</v>
      </c>
      <c r="J34" s="94">
        <v>172.72</v>
      </c>
      <c r="K34" s="42">
        <f>SUM(H34:J34)</f>
        <v>518.14</v>
      </c>
    </row>
    <row r="35" spans="1:12" s="5" customFormat="1" ht="39.75" customHeight="1" x14ac:dyDescent="0.25">
      <c r="A35" s="37" t="str">
        <f>'INVERSIONES Y CRONOGRAMA.'!A44</f>
        <v>3.7</v>
      </c>
      <c r="B35" s="37" t="str">
        <f>'INVERSIONES Y CRONOGRAMA.'!B44</f>
        <v>Implementação do fortalecimento institucional dos órgãos estaduais gestores de turismo</v>
      </c>
      <c r="C35" s="39">
        <f>'INVERSIONES Y CRONOGRAMA.'!C44</f>
        <v>1510</v>
      </c>
      <c r="D35" s="71">
        <f t="shared" si="1"/>
        <v>2.806858689869253E-2</v>
      </c>
      <c r="E35" s="70">
        <f t="shared" si="2"/>
        <v>2.5166666474113412E-2</v>
      </c>
      <c r="F35" s="94">
        <v>110</v>
      </c>
      <c r="G35" s="94">
        <v>200</v>
      </c>
      <c r="H35" s="94">
        <v>400</v>
      </c>
      <c r="I35" s="94">
        <v>400</v>
      </c>
      <c r="J35" s="94">
        <v>400</v>
      </c>
      <c r="K35" s="42">
        <f>SUM(F35:J35)</f>
        <v>1510</v>
      </c>
    </row>
    <row r="36" spans="1:12" s="5" customFormat="1" ht="30.75" customHeight="1" x14ac:dyDescent="0.25">
      <c r="A36" s="37" t="str">
        <f>'INVERSIONES Y CRONOGRAMA.'!A45</f>
        <v>3.8</v>
      </c>
      <c r="B36" s="37" t="str">
        <f>'INVERSIONES Y CRONOGRAMA.'!B45</f>
        <v>Reforma e aquisição de equipamentos da Galeria Ana Maria para instalação de nova sede da SETUR</v>
      </c>
      <c r="C36" s="39">
        <f>'INVERSIONES Y CRONOGRAMA.'!C45</f>
        <v>280</v>
      </c>
      <c r="D36" s="71">
        <f t="shared" si="1"/>
        <v>5.2047710805522571E-3</v>
      </c>
      <c r="E36" s="70">
        <f t="shared" si="2"/>
        <v>4.6666666309614279E-3</v>
      </c>
      <c r="F36" s="79">
        <v>0</v>
      </c>
      <c r="G36" s="39">
        <v>0</v>
      </c>
      <c r="H36" s="39">
        <v>0</v>
      </c>
      <c r="I36" s="94">
        <v>280</v>
      </c>
      <c r="J36" s="79">
        <v>0</v>
      </c>
      <c r="K36" s="42">
        <f>SUM(F36:J36)</f>
        <v>280</v>
      </c>
    </row>
    <row r="37" spans="1:12" s="5" customFormat="1" ht="39" customHeight="1" x14ac:dyDescent="0.25">
      <c r="A37" s="105" t="str">
        <f>'INVERSIONES Y CRONOGRAMA.'!A47</f>
        <v>3.8.2</v>
      </c>
      <c r="B37" s="105" t="str">
        <f>'INVERSIONES Y CRONOGRAMA.'!B47</f>
        <v>Aquisição de equipamentos da Galeria Ana Maria para instalação de nova sede da SETUR</v>
      </c>
      <c r="C37" s="29">
        <f>'INVERSIONES Y CRONOGRAMA.'!C47</f>
        <v>280</v>
      </c>
      <c r="D37" s="74">
        <f t="shared" si="1"/>
        <v>5.2047710805522571E-3</v>
      </c>
      <c r="E37" s="72">
        <f t="shared" si="2"/>
        <v>4.6666666309614279E-3</v>
      </c>
      <c r="F37" s="76">
        <v>0</v>
      </c>
      <c r="G37" s="76">
        <v>0</v>
      </c>
      <c r="H37" s="76">
        <v>0</v>
      </c>
      <c r="I37" s="95">
        <v>280</v>
      </c>
      <c r="J37" s="76">
        <v>0</v>
      </c>
      <c r="K37" s="68">
        <f>SUM(F37:J37)</f>
        <v>280</v>
      </c>
    </row>
    <row r="38" spans="1:12" s="5" customFormat="1" ht="30.75" customHeight="1" x14ac:dyDescent="0.25">
      <c r="A38" s="37" t="str">
        <f>'INVERSIONES Y CRONOGRAMA.'!A48</f>
        <v>3.9</v>
      </c>
      <c r="B38" s="37" t="str">
        <f>'INVERSIONES Y CRONOGRAMA.'!B48</f>
        <v>Sistema de gerenciamento integral do Programa</v>
      </c>
      <c r="C38" s="39">
        <f>'INVERSIONES Y CRONOGRAMA.'!C48</f>
        <v>683.94206528497421</v>
      </c>
      <c r="D38" s="71">
        <f t="shared" si="1"/>
        <v>1.2713435293458634E-2</v>
      </c>
      <c r="E38" s="70">
        <f t="shared" si="2"/>
        <v>1.1399034334200826E-2</v>
      </c>
      <c r="F38" s="94">
        <v>316.83325699481873</v>
      </c>
      <c r="G38" s="94">
        <v>91.77720207253887</v>
      </c>
      <c r="H38" s="94">
        <v>91.77720207253887</v>
      </c>
      <c r="I38" s="94">
        <v>91.77720207253887</v>
      </c>
      <c r="J38" s="94">
        <v>91.77720207253887</v>
      </c>
      <c r="K38" s="53">
        <f>SUM(F38:J38)</f>
        <v>683.94206528497432</v>
      </c>
    </row>
    <row r="39" spans="1:12" s="18" customFormat="1" ht="39.6" customHeight="1" x14ac:dyDescent="0.25">
      <c r="A39" s="24">
        <v>4</v>
      </c>
      <c r="B39" s="24" t="s">
        <v>154</v>
      </c>
      <c r="C39" s="25">
        <v>0</v>
      </c>
      <c r="D39" s="57">
        <f t="shared" si="1"/>
        <v>0</v>
      </c>
      <c r="E39" s="57">
        <f t="shared" si="2"/>
        <v>0</v>
      </c>
      <c r="F39" s="25">
        <f>F61</f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96">
        <f>SUM(F39:J39)</f>
        <v>0</v>
      </c>
    </row>
    <row r="40" spans="1:12" ht="17.25" x14ac:dyDescent="0.2">
      <c r="A40" s="12"/>
      <c r="B40" s="12" t="s">
        <v>153</v>
      </c>
      <c r="C40" s="12">
        <v>0</v>
      </c>
      <c r="D40" s="12"/>
      <c r="E40" s="12"/>
      <c r="F40" s="12"/>
      <c r="G40" s="12"/>
      <c r="H40" s="12"/>
      <c r="I40" s="12"/>
      <c r="J40" s="12"/>
      <c r="K40" s="12"/>
    </row>
    <row r="41" spans="1:12" s="18" customFormat="1" ht="34.9" customHeight="1" x14ac:dyDescent="0.25">
      <c r="A41" s="26">
        <v>5</v>
      </c>
      <c r="B41" s="50" t="s">
        <v>135</v>
      </c>
      <c r="C41" s="27">
        <f>SUM(C42:C43,C46,C50:C51,C54,C57,C61)</f>
        <v>14401.181293264248</v>
      </c>
      <c r="D41" s="57">
        <f t="shared" si="1"/>
        <v>0.26769589971775681</v>
      </c>
      <c r="E41" s="57">
        <f t="shared" si="2"/>
        <v>0.24001968638465071</v>
      </c>
      <c r="F41" s="27">
        <f t="shared" ref="F41:K41" si="6">SUM(F42:F43,F46,F50:F51,F54,F57,F61)</f>
        <v>178.25860103626945</v>
      </c>
      <c r="G41" s="27">
        <f t="shared" si="6"/>
        <v>3806.11</v>
      </c>
      <c r="H41" s="27">
        <f t="shared" si="6"/>
        <v>5777.74</v>
      </c>
      <c r="I41" s="27">
        <f t="shared" si="6"/>
        <v>3650.02</v>
      </c>
      <c r="J41" s="27">
        <f t="shared" si="6"/>
        <v>989.05000000000007</v>
      </c>
      <c r="K41" s="27">
        <f t="shared" si="6"/>
        <v>14401.17860103627</v>
      </c>
      <c r="L41" s="96">
        <f>SUM(F41:J41)</f>
        <v>14401.178601036268</v>
      </c>
    </row>
    <row r="42" spans="1:12" s="5" customFormat="1" ht="59.25" customHeight="1" x14ac:dyDescent="0.25">
      <c r="A42" s="37" t="str">
        <f>'INVERSIONES Y CRONOGRAMA.'!A57</f>
        <v>5.1</v>
      </c>
      <c r="B42" s="37" t="str">
        <f>'INVERSIONES Y CRONOGRAMA.'!B57</f>
        <v>Estudos de Avaliação de Limites de Mudanças aceitavéis y monitoreo do turismo em quatro áreas turísticas críticas (trilha do cangaço-Grota do Angico, Brejo grande, Litoral Norte e Indiaroba-Sta Luzia do Itanhy)</v>
      </c>
      <c r="C42" s="39">
        <f>'INVERSIONES Y CRONOGRAMA.'!C57</f>
        <v>1036.2655663212436</v>
      </c>
      <c r="D42" s="71">
        <f t="shared" si="1"/>
        <v>1.9262589469146128E-2</v>
      </c>
      <c r="E42" s="70">
        <f t="shared" si="2"/>
        <v>1.7271092639877476E-2</v>
      </c>
      <c r="F42" s="79">
        <v>0</v>
      </c>
      <c r="G42" s="94">
        <v>259.07</v>
      </c>
      <c r="H42" s="94">
        <v>259.07</v>
      </c>
      <c r="I42" s="94">
        <v>259.07</v>
      </c>
      <c r="J42" s="94">
        <v>259.06</v>
      </c>
      <c r="K42" s="42">
        <f>SUM(F42:J42)</f>
        <v>1036.27</v>
      </c>
    </row>
    <row r="43" spans="1:12" s="5" customFormat="1" ht="36" customHeight="1" x14ac:dyDescent="0.25">
      <c r="A43" s="37" t="str">
        <f>'INVERSIONES Y CRONOGRAMA.'!A58</f>
        <v>5.2</v>
      </c>
      <c r="B43" s="37" t="str">
        <f>'INVERSIONES Y CRONOGRAMA.'!B58</f>
        <v>Educação e Sensibilização Ambiental do Turista, entidades públicas e privadas e comunidades receptoras</v>
      </c>
      <c r="C43" s="39">
        <f>'INVERSIONES Y CRONOGRAMA.'!C58</f>
        <v>388.60302901554411</v>
      </c>
      <c r="D43" s="71">
        <f t="shared" si="1"/>
        <v>7.2235350258396912E-3</v>
      </c>
      <c r="E43" s="70">
        <f t="shared" si="2"/>
        <v>6.4767171007049113E-3</v>
      </c>
      <c r="F43" s="94">
        <f>F45+F44</f>
        <v>45.888601036269435</v>
      </c>
      <c r="G43" s="94">
        <f>G45+G44</f>
        <v>85.68</v>
      </c>
      <c r="H43" s="94">
        <f>H45+H44</f>
        <v>85.68</v>
      </c>
      <c r="I43" s="94">
        <f>I45+I44</f>
        <v>85.68</v>
      </c>
      <c r="J43" s="94">
        <f>J45+J44</f>
        <v>85.67</v>
      </c>
      <c r="K43" s="42">
        <f t="shared" ref="K43:K56" si="7">SUM(F43:J43)</f>
        <v>388.59860103626949</v>
      </c>
    </row>
    <row r="44" spans="1:12" s="5" customFormat="1" ht="19.5" customHeight="1" x14ac:dyDescent="0.25">
      <c r="A44" s="105" t="str">
        <f>'INVERSIONES Y CRONOGRAMA.'!A59</f>
        <v>5.2.1</v>
      </c>
      <c r="B44" s="105" t="str">
        <f>'INVERSIONES Y CRONOGRAMA.'!B59</f>
        <v>Diagnóstico e Plano de Ação para Educação e Sensibilização Ambiental</v>
      </c>
      <c r="C44" s="29">
        <f>'INVERSIONES Y CRONOGRAMA.'!C59</f>
        <v>45.888601036269435</v>
      </c>
      <c r="D44" s="74">
        <f t="shared" si="1"/>
        <v>8.5299879857348392E-4</v>
      </c>
      <c r="E44" s="72">
        <f t="shared" si="2"/>
        <v>7.6481001141950194E-4</v>
      </c>
      <c r="F44" s="95">
        <v>45.888601036269435</v>
      </c>
      <c r="G44" s="76">
        <v>0</v>
      </c>
      <c r="H44" s="76">
        <v>0</v>
      </c>
      <c r="I44" s="76">
        <v>0</v>
      </c>
      <c r="J44" s="76">
        <v>0</v>
      </c>
      <c r="K44" s="33">
        <f t="shared" si="7"/>
        <v>45.888601036269435</v>
      </c>
    </row>
    <row r="45" spans="1:12" s="5" customFormat="1" ht="36" customHeight="1" x14ac:dyDescent="0.25">
      <c r="A45" s="105" t="str">
        <f>'INVERSIONES Y CRONOGRAMA.'!A60</f>
        <v>5.2.2</v>
      </c>
      <c r="B45" s="105" t="str">
        <f>'INVERSIONES Y CRONOGRAMA.'!B60</f>
        <v>Implementação das ações de educação e sensibilização do turista, entidades e comunidades receptoras</v>
      </c>
      <c r="C45" s="29">
        <f>'INVERSIONES Y CRONOGRAMA.'!C60</f>
        <v>342.71442797927466</v>
      </c>
      <c r="D45" s="74">
        <f t="shared" si="1"/>
        <v>6.3705362272662071E-3</v>
      </c>
      <c r="E45" s="72">
        <f t="shared" si="2"/>
        <v>5.7119070892854085E-3</v>
      </c>
      <c r="F45" s="76">
        <v>0</v>
      </c>
      <c r="G45" s="95">
        <v>85.68</v>
      </c>
      <c r="H45" s="95">
        <v>85.68</v>
      </c>
      <c r="I45" s="95">
        <v>85.68</v>
      </c>
      <c r="J45" s="95">
        <v>85.67</v>
      </c>
      <c r="K45" s="33">
        <f t="shared" si="7"/>
        <v>342.71000000000004</v>
      </c>
    </row>
    <row r="46" spans="1:12" s="5" customFormat="1" ht="64.5" customHeight="1" x14ac:dyDescent="0.25">
      <c r="A46" s="37" t="str">
        <f>'INVERSIONES Y CRONOGRAMA.'!A61</f>
        <v>5.3</v>
      </c>
      <c r="B46" s="37" t="str">
        <f>'INVERSIONES Y CRONOGRAMA.'!B61</f>
        <v>Manejo e Proteção Ambiental da Unidade de Conservação com uso turístico (Elaboração e implementação do plano de manejo da APA do litoral Norte e Plano de uso público do MONA Grota do Angico)</v>
      </c>
      <c r="C46" s="39">
        <f>'INVERSIONES Y CRONOGRAMA.'!C61</f>
        <v>906.73122331606237</v>
      </c>
      <c r="D46" s="71">
        <f t="shared" si="1"/>
        <v>1.6854744460532898E-2</v>
      </c>
      <c r="E46" s="70">
        <f t="shared" si="2"/>
        <v>1.5112186939642509E-2</v>
      </c>
      <c r="F46" s="79">
        <f>F47+F48+F49</f>
        <v>0</v>
      </c>
      <c r="G46" s="94">
        <f>G47+G48+G49</f>
        <v>367.1</v>
      </c>
      <c r="H46" s="94">
        <f>H47+H48+H49</f>
        <v>179.88</v>
      </c>
      <c r="I46" s="94">
        <f>I47+I48+I49</f>
        <v>179.88</v>
      </c>
      <c r="J46" s="94">
        <f>J47+J48+J49</f>
        <v>179.86</v>
      </c>
      <c r="K46" s="42">
        <f t="shared" si="7"/>
        <v>906.72</v>
      </c>
    </row>
    <row r="47" spans="1:12" s="5" customFormat="1" ht="26.25" customHeight="1" x14ac:dyDescent="0.25">
      <c r="A47" s="105" t="str">
        <f>'INVERSIONES Y CRONOGRAMA.'!A62</f>
        <v>5.3.1</v>
      </c>
      <c r="B47" s="105" t="str">
        <f>'INVERSIONES Y CRONOGRAMA.'!B62</f>
        <v>Elaboração do Plano de Manejo da APA Litoral Norte</v>
      </c>
      <c r="C47" s="29">
        <f>'INVERSIONES Y CRONOGRAMA.'!C62</f>
        <v>183.55440414507774</v>
      </c>
      <c r="D47" s="74">
        <f t="shared" si="1"/>
        <v>3.4119951942939357E-3</v>
      </c>
      <c r="E47" s="72">
        <f t="shared" si="2"/>
        <v>3.0592400456780078E-3</v>
      </c>
      <c r="F47" s="76">
        <v>0</v>
      </c>
      <c r="G47" s="95">
        <v>183.55</v>
      </c>
      <c r="H47" s="76">
        <v>0</v>
      </c>
      <c r="I47" s="76">
        <v>0</v>
      </c>
      <c r="J47" s="76">
        <v>0</v>
      </c>
      <c r="K47" s="33">
        <f t="shared" si="7"/>
        <v>183.55</v>
      </c>
    </row>
    <row r="48" spans="1:12" s="5" customFormat="1" ht="36.75" customHeight="1" x14ac:dyDescent="0.25">
      <c r="A48" s="105" t="str">
        <f>'INVERSIONES Y CRONOGRAMA.'!A63</f>
        <v>5.3.2</v>
      </c>
      <c r="B48" s="105" t="str">
        <f>'INVERSIONES Y CRONOGRAMA.'!B63</f>
        <v>Implementação das ações prioritárias do plano de manejo da APA do Litoral Norte</v>
      </c>
      <c r="C48" s="29">
        <f>'INVERSIONES Y CRONOGRAMA.'!C63</f>
        <v>539.62241502590678</v>
      </c>
      <c r="D48" s="74">
        <f t="shared" si="1"/>
        <v>1.0030754071945026E-2</v>
      </c>
      <c r="E48" s="72">
        <f t="shared" si="2"/>
        <v>8.993706848286492E-3</v>
      </c>
      <c r="F48" s="76">
        <v>0</v>
      </c>
      <c r="G48" s="76">
        <v>0</v>
      </c>
      <c r="H48" s="95">
        <v>179.88</v>
      </c>
      <c r="I48" s="95">
        <v>179.88</v>
      </c>
      <c r="J48" s="95">
        <v>179.86</v>
      </c>
      <c r="K48" s="33">
        <f t="shared" si="7"/>
        <v>539.62</v>
      </c>
    </row>
    <row r="49" spans="1:11" s="5" customFormat="1" ht="30.75" customHeight="1" x14ac:dyDescent="0.25">
      <c r="A49" s="105" t="str">
        <f>'INVERSIONES Y CRONOGRAMA.'!A64</f>
        <v>5.3.3</v>
      </c>
      <c r="B49" s="105" t="str">
        <f>'INVERSIONES Y CRONOGRAMA.'!B64</f>
        <v>Elaboração e implementacao do Plano de Uso público para a Monumento Natural Grota do Angico</v>
      </c>
      <c r="C49" s="29">
        <f>'INVERSIONES Y CRONOGRAMA.'!C64</f>
        <v>183.55440414507774</v>
      </c>
      <c r="D49" s="74">
        <f t="shared" si="1"/>
        <v>3.4119951942939357E-3</v>
      </c>
      <c r="E49" s="72">
        <f t="shared" si="2"/>
        <v>3.0592400456780078E-3</v>
      </c>
      <c r="F49" s="76">
        <v>0</v>
      </c>
      <c r="G49" s="95">
        <v>183.55</v>
      </c>
      <c r="H49" s="29">
        <v>0</v>
      </c>
      <c r="I49" s="76">
        <v>0</v>
      </c>
      <c r="J49" s="76">
        <v>0</v>
      </c>
      <c r="K49" s="33">
        <f t="shared" si="7"/>
        <v>183.55</v>
      </c>
    </row>
    <row r="50" spans="1:11" s="78" customFormat="1" ht="45" customHeight="1" x14ac:dyDescent="0.2">
      <c r="A50" s="37" t="str">
        <f>'INVERSIONES Y CRONOGRAMA.'!A65</f>
        <v>5.4</v>
      </c>
      <c r="B50" s="37" t="str">
        <f>'INVERSIONES Y CRONOGRAMA.'!B65</f>
        <v>Programa de comunicación y participación de población local y vulnerable en el programa. Otras acoes de apoio à prevenção da impactos negativos indirectos del turismo</v>
      </c>
      <c r="C50" s="39">
        <f>'INVERSIONES Y CRONOGRAMA.'!C65</f>
        <v>410</v>
      </c>
      <c r="D50" s="70">
        <f t="shared" si="1"/>
        <v>7.6212719393800908E-3</v>
      </c>
      <c r="E50" s="70">
        <f t="shared" si="2"/>
        <v>6.8333332810506615E-3</v>
      </c>
      <c r="F50" s="94">
        <v>20</v>
      </c>
      <c r="G50" s="94">
        <v>105</v>
      </c>
      <c r="H50" s="94">
        <v>95</v>
      </c>
      <c r="I50" s="94">
        <v>95</v>
      </c>
      <c r="J50" s="94">
        <v>95</v>
      </c>
      <c r="K50" s="42">
        <f t="shared" si="7"/>
        <v>410</v>
      </c>
    </row>
    <row r="51" spans="1:11" s="5" customFormat="1" ht="36.75" customHeight="1" x14ac:dyDescent="0.25">
      <c r="A51" s="37" t="str">
        <f>'INVERSIONES Y CRONOGRAMA.'!A66</f>
        <v>5.5</v>
      </c>
      <c r="B51" s="37" t="str">
        <f>'INVERSIONES Y CRONOGRAMA.'!B66</f>
        <v>Apoio à implementação dos Planos Intermunicipais de Resíduos Sólidos</v>
      </c>
      <c r="C51" s="39">
        <f>'INVERSIONES Y CRONOGRAMA.'!C66</f>
        <v>1109.014288601036</v>
      </c>
      <c r="D51" s="71">
        <f t="shared" si="1"/>
        <v>2.0614876775821096E-2</v>
      </c>
      <c r="E51" s="70">
        <f t="shared" si="2"/>
        <v>1.8483571335263863E-2</v>
      </c>
      <c r="F51" s="79">
        <f>F52+F53</f>
        <v>0</v>
      </c>
      <c r="G51" s="94">
        <f>G52+G53</f>
        <v>369.67999999999995</v>
      </c>
      <c r="H51" s="94">
        <f>H52+H53</f>
        <v>369.67999999999995</v>
      </c>
      <c r="I51" s="94">
        <f>I52+I53</f>
        <v>369.65999999999997</v>
      </c>
      <c r="J51" s="79">
        <f>J52+J53</f>
        <v>0</v>
      </c>
      <c r="K51" s="42">
        <f t="shared" si="7"/>
        <v>1109.02</v>
      </c>
    </row>
    <row r="52" spans="1:11" s="5" customFormat="1" ht="39" customHeight="1" x14ac:dyDescent="0.25">
      <c r="A52" s="105" t="str">
        <f>'INVERSIONES Y CRONOGRAMA.'!A67</f>
        <v>5.5.1</v>
      </c>
      <c r="B52" s="105" t="str">
        <f>'INVERSIONES Y CRONOGRAMA.'!B67</f>
        <v>Financiamento de estudos de viabilidade socioeconômica, projetos básicos e executivos para o manejo de resíduos sólidos</v>
      </c>
      <c r="C52" s="29">
        <f>'INVERSIONES Y CRONOGRAMA.'!C67</f>
        <v>592.99740932642499</v>
      </c>
      <c r="D52" s="74">
        <f t="shared" si="1"/>
        <v>1.1022913453230665E-2</v>
      </c>
      <c r="E52" s="72">
        <f t="shared" si="2"/>
        <v>9.8832900798221518E-3</v>
      </c>
      <c r="F52" s="76">
        <v>0</v>
      </c>
      <c r="G52" s="95">
        <v>197.67</v>
      </c>
      <c r="H52" s="95">
        <v>197.67</v>
      </c>
      <c r="I52" s="95">
        <v>197.66</v>
      </c>
      <c r="J52" s="76">
        <v>0</v>
      </c>
      <c r="K52" s="33">
        <f t="shared" si="7"/>
        <v>593</v>
      </c>
    </row>
    <row r="53" spans="1:11" s="5" customFormat="1" ht="37.5" customHeight="1" x14ac:dyDescent="0.25">
      <c r="A53" s="105" t="str">
        <f>'INVERSIONES Y CRONOGRAMA.'!A68</f>
        <v>5.5.2</v>
      </c>
      <c r="B53" s="105" t="str">
        <f>'INVERSIONES Y CRONOGRAMA.'!B68</f>
        <v>Financiamento de ações sociais e de fortalecimento institucional decorrente das ações dos Planos Intermunicipais</v>
      </c>
      <c r="C53" s="29">
        <f>'INVERSIONES Y CRONOGRAMA.'!C68</f>
        <v>516.01687927461103</v>
      </c>
      <c r="D53" s="74">
        <f t="shared" si="1"/>
        <v>9.591963322590432E-3</v>
      </c>
      <c r="E53" s="72">
        <f t="shared" si="2"/>
        <v>8.600281255441709E-3</v>
      </c>
      <c r="F53" s="76">
        <v>0</v>
      </c>
      <c r="G53" s="95">
        <v>172.01</v>
      </c>
      <c r="H53" s="95">
        <v>172.01</v>
      </c>
      <c r="I53" s="95">
        <v>172</v>
      </c>
      <c r="J53" s="76">
        <v>0</v>
      </c>
      <c r="K53" s="33">
        <f t="shared" si="7"/>
        <v>516.02</v>
      </c>
    </row>
    <row r="54" spans="1:11" s="5" customFormat="1" ht="42" customHeight="1" x14ac:dyDescent="0.25">
      <c r="A54" s="37" t="str">
        <f>'INVERSIONES Y CRONOGRAMA.'!A69</f>
        <v>5.6</v>
      </c>
      <c r="B54" s="37" t="str">
        <f>'INVERSIONES Y CRONOGRAMA.'!B69</f>
        <v>Restauração Ecológica e Paisagística de áreas turísticas de alto valor natural e degradadas (Afluentes Jacaré e Betume do Rio e Foz do São Francisco)</v>
      </c>
      <c r="C54" s="39">
        <f>'INVERSIONES Y CRONOGRAMA.'!C69</f>
        <v>1401.5571860103619</v>
      </c>
      <c r="D54" s="71">
        <f t="shared" si="1"/>
        <v>2.6052801105310473E-2</v>
      </c>
      <c r="E54" s="70">
        <f t="shared" si="2"/>
        <v>2.3359286254781265E-2</v>
      </c>
      <c r="F54" s="79">
        <v>0</v>
      </c>
      <c r="G54" s="94">
        <f>SUM(G55,G56)</f>
        <v>467.2</v>
      </c>
      <c r="H54" s="94">
        <f>SUM(H55,H56)</f>
        <v>467.2</v>
      </c>
      <c r="I54" s="94">
        <f>SUM(I55,I56)</f>
        <v>233.6</v>
      </c>
      <c r="J54" s="94">
        <f>SUM(J55,J56)</f>
        <v>233.56</v>
      </c>
      <c r="K54" s="42">
        <f t="shared" si="7"/>
        <v>1401.56</v>
      </c>
    </row>
    <row r="55" spans="1:11" s="5" customFormat="1" ht="48" customHeight="1" x14ac:dyDescent="0.25">
      <c r="A55" s="105" t="str">
        <f>'INVERSIONES Y CRONOGRAMA.'!A70</f>
        <v>5.6.1</v>
      </c>
      <c r="B55" s="105" t="str">
        <f>'INVERSIONES Y CRONOGRAMA.'!B70</f>
        <v>Elaboração e Execução de planos de proteção e recuperação de áreas ambientais frágeis ou degradadas e elaboração de estudos ambientais - Rio Jacaré</v>
      </c>
      <c r="C55" s="29">
        <f>'INVERSIONES Y CRONOGRAMA.'!C70</f>
        <v>688.329015544041</v>
      </c>
      <c r="D55" s="74">
        <f t="shared" si="1"/>
        <v>1.2794981978602248E-2</v>
      </c>
      <c r="E55" s="72">
        <f t="shared" si="2"/>
        <v>1.1472150171292521E-2</v>
      </c>
      <c r="F55" s="76">
        <v>0</v>
      </c>
      <c r="G55" s="95">
        <v>229.45</v>
      </c>
      <c r="H55" s="95">
        <v>229.45</v>
      </c>
      <c r="I55" s="95">
        <v>114.72</v>
      </c>
      <c r="J55" s="95">
        <v>114.71</v>
      </c>
      <c r="K55" s="33">
        <f t="shared" si="7"/>
        <v>688.33</v>
      </c>
    </row>
    <row r="56" spans="1:11" s="5" customFormat="1" ht="48" customHeight="1" x14ac:dyDescent="0.25">
      <c r="A56" s="105" t="str">
        <f>'INVERSIONES Y CRONOGRAMA.'!A71</f>
        <v>5.6.2</v>
      </c>
      <c r="B56" s="105" t="str">
        <f>'INVERSIONES Y CRONOGRAMA.'!B71</f>
        <v>Elaboração e Execução de planos de proteção e recuperação de áreas ambientais frágeis ou degradadas e elaboração de estudos ambientais - Rio Betume</v>
      </c>
      <c r="C56" s="29">
        <f>'INVERSIONES Y CRONOGRAMA.'!C71</f>
        <v>713.22817046632099</v>
      </c>
      <c r="D56" s="74">
        <f t="shared" si="1"/>
        <v>1.3257819126708224E-2</v>
      </c>
      <c r="E56" s="72">
        <f t="shared" si="2"/>
        <v>1.1887136083488747E-2</v>
      </c>
      <c r="F56" s="76">
        <v>0</v>
      </c>
      <c r="G56" s="95">
        <v>237.75</v>
      </c>
      <c r="H56" s="95">
        <v>237.75</v>
      </c>
      <c r="I56" s="95">
        <v>118.88</v>
      </c>
      <c r="J56" s="95">
        <v>118.85</v>
      </c>
      <c r="K56" s="33">
        <f t="shared" si="7"/>
        <v>713.23</v>
      </c>
    </row>
    <row r="57" spans="1:11" s="5" customFormat="1" ht="23.25" customHeight="1" x14ac:dyDescent="0.25">
      <c r="A57" s="37" t="str">
        <f>'INVERSIONES Y CRONOGRAMA.'!A72</f>
        <v>5.7</v>
      </c>
      <c r="B57" s="37" t="str">
        <f>'INVERSIONES Y CRONOGRAMA.'!B72</f>
        <v>Planeamiento costeiro</v>
      </c>
      <c r="C57" s="39">
        <f>'INVERSIONES Y CRONOGRAMA.'!C72</f>
        <v>1149.01</v>
      </c>
      <c r="D57" s="71">
        <f t="shared" si="1"/>
        <v>2.1358335783090533E-2</v>
      </c>
      <c r="E57" s="70">
        <f t="shared" si="2"/>
        <v>1.9150166520146391E-2</v>
      </c>
      <c r="F57" s="94">
        <f>SUM(F58:F60)</f>
        <v>112.37</v>
      </c>
      <c r="G57" s="94">
        <f>SUM(G58:G60)</f>
        <v>152.38</v>
      </c>
      <c r="H57" s="94">
        <f>SUM(H58:H60)</f>
        <v>321.23</v>
      </c>
      <c r="I57" s="94">
        <f>SUM(I58:I60)</f>
        <v>427.13</v>
      </c>
      <c r="J57" s="79">
        <f>SUM(J58:J60)</f>
        <v>135.9</v>
      </c>
      <c r="K57" s="42">
        <f>SUM(F57:J57)</f>
        <v>1149.01</v>
      </c>
    </row>
    <row r="58" spans="1:11" s="5" customFormat="1" ht="27.75" customHeight="1" x14ac:dyDescent="0.25">
      <c r="A58" s="105" t="str">
        <f>'INVERSIONES Y CRONOGRAMA.'!A73</f>
        <v>5.7.1</v>
      </c>
      <c r="B58" s="105" t="str">
        <f>'INVERSIONES Y CRONOGRAMA.'!B73</f>
        <v>Elaboração da Política de Gerenciamento Costeiro do Estado</v>
      </c>
      <c r="C58" s="29">
        <f>'INVERSIONES Y CRONOGRAMA.'!C73</f>
        <v>264.75</v>
      </c>
      <c r="D58" s="74">
        <f t="shared" si="1"/>
        <v>4.9212969413436076E-3</v>
      </c>
      <c r="E58" s="72">
        <f t="shared" si="2"/>
        <v>4.4124999662394212E-3</v>
      </c>
      <c r="F58" s="95">
        <v>112.37</v>
      </c>
      <c r="G58" s="95">
        <v>152.38</v>
      </c>
      <c r="H58" s="29">
        <v>0</v>
      </c>
      <c r="I58" s="76">
        <v>0</v>
      </c>
      <c r="J58" s="76">
        <v>0</v>
      </c>
      <c r="K58" s="33">
        <f>SUM(F58:J58)</f>
        <v>264.75</v>
      </c>
    </row>
    <row r="59" spans="1:11" s="5" customFormat="1" ht="22.5" customHeight="1" x14ac:dyDescent="0.25">
      <c r="A59" s="105" t="str">
        <f>'INVERSIONES Y CRONOGRAMA.'!A74</f>
        <v>5.7.2</v>
      </c>
      <c r="B59" s="105" t="str">
        <f>'INVERSIONES Y CRONOGRAMA.'!B74</f>
        <v>Realização de Planos de Gestão Integrada dos munícipios costeiros</v>
      </c>
      <c r="C59" s="29">
        <f>'INVERSIONES Y CRONOGRAMA.'!C74</f>
        <v>672.46</v>
      </c>
      <c r="D59" s="74">
        <f t="shared" si="1"/>
        <v>1.250000128867204E-2</v>
      </c>
      <c r="E59" s="72">
        <f t="shared" si="2"/>
        <v>1.1207666580915435E-2</v>
      </c>
      <c r="F59" s="76">
        <v>0</v>
      </c>
      <c r="G59" s="76">
        <v>0</v>
      </c>
      <c r="H59" s="95">
        <v>321.23</v>
      </c>
      <c r="I59" s="95">
        <v>321.23</v>
      </c>
      <c r="J59" s="95">
        <v>30</v>
      </c>
      <c r="K59" s="33">
        <f>SUM(F59:J59)</f>
        <v>672.46</v>
      </c>
    </row>
    <row r="60" spans="1:11" s="5" customFormat="1" ht="47.25" customHeight="1" x14ac:dyDescent="0.25">
      <c r="A60" s="105" t="str">
        <f>'INVERSIONES Y CRONOGRAMA.'!A75</f>
        <v>5.7.3</v>
      </c>
      <c r="B60" s="105" t="str">
        <f>'INVERSIONES Y CRONOGRAMA.'!B75</f>
        <v>Apoio à elaboração de normas ambientais e treinamento para o controle e fiscalização de obras náuticas (marinas, piers, atracadouros), além de rodovias e saneamento, em parceria com a ADEMA</v>
      </c>
      <c r="C60" s="29">
        <f>'INVERSIONES Y CRONOGRAMA.'!C75</f>
        <v>211.8</v>
      </c>
      <c r="D60" s="74">
        <f t="shared" si="1"/>
        <v>3.9370375530748862E-3</v>
      </c>
      <c r="E60" s="72">
        <f t="shared" si="2"/>
        <v>3.529999972991537E-3</v>
      </c>
      <c r="F60" s="76">
        <v>0</v>
      </c>
      <c r="G60" s="76">
        <v>0</v>
      </c>
      <c r="H60" s="29">
        <v>0</v>
      </c>
      <c r="I60" s="95">
        <v>105.9</v>
      </c>
      <c r="J60" s="95">
        <v>105.9</v>
      </c>
      <c r="K60" s="33">
        <f>SUM(F60:J60)</f>
        <v>211.8</v>
      </c>
    </row>
    <row r="61" spans="1:11" s="5" customFormat="1" ht="45.75" customHeight="1" x14ac:dyDescent="0.25">
      <c r="A61" s="36">
        <f>'INVERSIONES Y CRONOGRAMA.'!A76</f>
        <v>5.8</v>
      </c>
      <c r="B61" s="37" t="str">
        <f>'INVERSIONES Y CRONOGRAMA.'!B76</f>
        <v>Implantação de sistema de esgotamento sanitário em puntos turisticos clave em la costa: Crasto (Sta. Luzia do Itanhy), Pontal (Indiaroba), Prainha (Canindé de São Francisco)</v>
      </c>
      <c r="C61" s="39">
        <f>'INVERSIONES Y CRONOGRAMA.'!C76</f>
        <v>8000</v>
      </c>
      <c r="D61" s="71">
        <f>C61/$C$62</f>
        <v>0.14870774515863591</v>
      </c>
      <c r="E61" s="70">
        <f>C61/$C$69</f>
        <v>0.13333333231318364</v>
      </c>
      <c r="F61" s="79">
        <v>0</v>
      </c>
      <c r="G61" s="94">
        <v>2000</v>
      </c>
      <c r="H61" s="94">
        <v>4000</v>
      </c>
      <c r="I61" s="94">
        <v>2000</v>
      </c>
      <c r="J61" s="39">
        <v>0</v>
      </c>
      <c r="K61" s="53">
        <f>SUM(F61:J61)</f>
        <v>8000</v>
      </c>
    </row>
    <row r="62" spans="1:11" s="18" customFormat="1" ht="36" customHeight="1" x14ac:dyDescent="0.25">
      <c r="A62" s="110" t="s">
        <v>70</v>
      </c>
      <c r="B62" s="110"/>
      <c r="C62" s="56">
        <f>C11+C24+C28+C39+C41</f>
        <v>53796.794453886017</v>
      </c>
      <c r="D62" s="73">
        <f t="shared" si="1"/>
        <v>1</v>
      </c>
      <c r="E62" s="58">
        <f t="shared" si="2"/>
        <v>0.89661323403800242</v>
      </c>
      <c r="F62" s="56">
        <f t="shared" ref="F62:K62" si="8">F11+F24+F28+F39+F41</f>
        <v>2119.5420704663211</v>
      </c>
      <c r="G62" s="56">
        <f t="shared" si="8"/>
        <v>7559.5016062176164</v>
      </c>
      <c r="H62" s="56">
        <f t="shared" si="8"/>
        <v>14649.831606217616</v>
      </c>
      <c r="I62" s="56">
        <f t="shared" si="8"/>
        <v>17408.793646113991</v>
      </c>
      <c r="J62" s="56">
        <f t="shared" si="8"/>
        <v>12059.167202072538</v>
      </c>
      <c r="K62" s="56">
        <f t="shared" si="8"/>
        <v>53796.836131088086</v>
      </c>
    </row>
    <row r="63" spans="1:11" s="18" customFormat="1" ht="54" customHeight="1" x14ac:dyDescent="0.25">
      <c r="A63" s="26">
        <v>6</v>
      </c>
      <c r="B63" s="50" t="s">
        <v>131</v>
      </c>
      <c r="C63" s="27">
        <f>SUM(C64:C68)</f>
        <v>6203.2060051813469</v>
      </c>
      <c r="D63" s="57">
        <f t="shared" si="1"/>
        <v>0.11530809722312846</v>
      </c>
      <c r="E63" s="57">
        <f t="shared" si="2"/>
        <v>0.10338676596199761</v>
      </c>
      <c r="F63" s="27">
        <f>SUM(F64:F68)</f>
        <v>1240.6412010362694</v>
      </c>
      <c r="G63" s="27">
        <f t="shared" ref="G63:J63" si="9">SUM(G64:G68)</f>
        <v>1240.6412010362694</v>
      </c>
      <c r="H63" s="27">
        <f t="shared" si="9"/>
        <v>1240.6422010362694</v>
      </c>
      <c r="I63" s="27">
        <f t="shared" si="9"/>
        <v>1240.6412010362694</v>
      </c>
      <c r="J63" s="27">
        <f t="shared" si="9"/>
        <v>1240.6412010362694</v>
      </c>
      <c r="K63" s="27">
        <f>SUM(K64:K68)</f>
        <v>6203.207005181348</v>
      </c>
    </row>
    <row r="64" spans="1:11" s="5" customFormat="1" ht="27" customHeight="1" x14ac:dyDescent="0.25">
      <c r="A64" s="37" t="str">
        <f>'INVERSIONES Y CRONOGRAMA.'!A79</f>
        <v>6.1</v>
      </c>
      <c r="B64" s="37" t="str">
        <f>'INVERSIONES Y CRONOGRAMA.'!B79</f>
        <v>Auditoria externa</v>
      </c>
      <c r="C64" s="39">
        <f>'INVERSIONES Y CRONOGRAMA.'!C79</f>
        <v>229.44300518134716</v>
      </c>
      <c r="D64" s="40">
        <f t="shared" si="1"/>
        <v>4.2649939928674193E-3</v>
      </c>
      <c r="E64" s="70">
        <f t="shared" si="2"/>
        <v>3.8240500570975097E-3</v>
      </c>
      <c r="F64" s="94">
        <v>45.888601036269435</v>
      </c>
      <c r="G64" s="94">
        <v>45.888601036269435</v>
      </c>
      <c r="H64" s="94">
        <v>45.888601036269435</v>
      </c>
      <c r="I64" s="94">
        <v>45.888601036269435</v>
      </c>
      <c r="J64" s="94">
        <v>45.888601036269435</v>
      </c>
      <c r="K64" s="46">
        <f t="shared" ref="K64:K70" si="10">SUM(F64:J64)</f>
        <v>229.44300518134719</v>
      </c>
    </row>
    <row r="65" spans="1:11" s="5" customFormat="1" ht="24.75" customHeight="1" x14ac:dyDescent="0.25">
      <c r="A65" s="37" t="str">
        <f>'INVERSIONES Y CRONOGRAMA.'!A80</f>
        <v>6.2</v>
      </c>
      <c r="B65" s="37" t="str">
        <f>'INVERSIONES Y CRONOGRAMA.'!B80</f>
        <v>Empresa Gerenciadora de Apoio a UCP</v>
      </c>
      <c r="C65" s="39">
        <f>'INVERSIONES Y CRONOGRAMA.'!C80</f>
        <v>3671.0880829015546</v>
      </c>
      <c r="D65" s="40">
        <f t="shared" si="1"/>
        <v>6.8239903885878708E-2</v>
      </c>
      <c r="E65" s="70">
        <f t="shared" si="2"/>
        <v>6.1184800913560156E-2</v>
      </c>
      <c r="F65" s="94">
        <v>734.21761658031096</v>
      </c>
      <c r="G65" s="94">
        <v>734.21761658031096</v>
      </c>
      <c r="H65" s="94">
        <v>734.21761658031096</v>
      </c>
      <c r="I65" s="94">
        <v>734.21761658031096</v>
      </c>
      <c r="J65" s="94">
        <v>734.21761658031096</v>
      </c>
      <c r="K65" s="46">
        <f t="shared" si="10"/>
        <v>3671.088082901555</v>
      </c>
    </row>
    <row r="66" spans="1:11" s="5" customFormat="1" ht="21" customHeight="1" x14ac:dyDescent="0.25">
      <c r="A66" s="37" t="str">
        <f>'INVERSIONES Y CRONOGRAMA.'!A81</f>
        <v>6.3</v>
      </c>
      <c r="B66" s="37" t="str">
        <f>'INVERSIONES Y CRONOGRAMA.'!B81</f>
        <v>Fiscalização e Supervisão de obras</v>
      </c>
      <c r="C66" s="39">
        <f>'INVERSIONES Y CRONOGRAMA.'!C81</f>
        <v>1398.9598911917099</v>
      </c>
      <c r="D66" s="40">
        <f t="shared" si="1"/>
        <v>2.6004521373311228E-2</v>
      </c>
      <c r="E66" s="70">
        <f t="shared" si="2"/>
        <v>2.3315998008134935E-2</v>
      </c>
      <c r="F66" s="94">
        <v>279.79197823834198</v>
      </c>
      <c r="G66" s="94">
        <v>279.79197823834198</v>
      </c>
      <c r="H66" s="94">
        <v>279.79197823834198</v>
      </c>
      <c r="I66" s="94">
        <v>279.79197823834198</v>
      </c>
      <c r="J66" s="94">
        <v>279.79197823834198</v>
      </c>
      <c r="K66" s="46">
        <f t="shared" si="10"/>
        <v>1398.9598911917099</v>
      </c>
    </row>
    <row r="67" spans="1:11" s="5" customFormat="1" ht="30.75" customHeight="1" x14ac:dyDescent="0.25">
      <c r="A67" s="37" t="str">
        <f>'INVERSIONES Y CRONOGRAMA.'!A82</f>
        <v>6.4</v>
      </c>
      <c r="B67" s="37" t="str">
        <f>'INVERSIONES Y CRONOGRAMA.'!B82</f>
        <v>Avaliações intermediárias e final do programa e sistema de monitormaento e avaliação de impacto do programa</v>
      </c>
      <c r="C67" s="39">
        <f>'INVERSIONES Y CRONOGRAMA.'!C82</f>
        <v>825.99481865284974</v>
      </c>
      <c r="D67" s="40">
        <f t="shared" si="1"/>
        <v>1.5353978374322709E-2</v>
      </c>
      <c r="E67" s="70">
        <f t="shared" si="2"/>
        <v>1.3766580205551035E-2</v>
      </c>
      <c r="F67" s="94">
        <v>165.19896373056994</v>
      </c>
      <c r="G67" s="94">
        <v>165.19896373056994</v>
      </c>
      <c r="H67" s="94">
        <v>165.19896373056994</v>
      </c>
      <c r="I67" s="94">
        <v>165.19896373056994</v>
      </c>
      <c r="J67" s="94">
        <v>165.19896373056994</v>
      </c>
      <c r="K67" s="46">
        <f t="shared" si="10"/>
        <v>825.99481865284974</v>
      </c>
    </row>
    <row r="68" spans="1:11" s="5" customFormat="1" ht="22.5" customHeight="1" x14ac:dyDescent="0.25">
      <c r="A68" s="37" t="str">
        <f>'INVERSIONES Y CRONOGRAMA.'!A83</f>
        <v>6.5</v>
      </c>
      <c r="B68" s="37" t="str">
        <f>'INVERSIONES Y CRONOGRAMA.'!B83</f>
        <v>Publicações de aquisições</v>
      </c>
      <c r="C68" s="39">
        <f>'INVERSIONES Y CRONOGRAMA.'!C83</f>
        <v>77.720207253886016</v>
      </c>
      <c r="D68" s="40">
        <f t="shared" si="1"/>
        <v>1.4446995967484061E-3</v>
      </c>
      <c r="E68" s="70">
        <f t="shared" si="2"/>
        <v>1.2953367776539864E-3</v>
      </c>
      <c r="F68" s="94">
        <v>15.544041450777204</v>
      </c>
      <c r="G68" s="94">
        <v>15.544041450777204</v>
      </c>
      <c r="H68" s="94">
        <v>15.5450414507772</v>
      </c>
      <c r="I68" s="94">
        <v>15.544041450777204</v>
      </c>
      <c r="J68" s="94">
        <v>15.544041450777204</v>
      </c>
      <c r="K68" s="46">
        <f t="shared" si="10"/>
        <v>77.721207253886007</v>
      </c>
    </row>
    <row r="69" spans="1:11" s="5" customFormat="1" ht="37.15" customHeight="1" x14ac:dyDescent="0.25">
      <c r="A69" s="14"/>
      <c r="B69" s="55" t="s">
        <v>69</v>
      </c>
      <c r="C69" s="54">
        <f>C62+C63</f>
        <v>60000.000459067363</v>
      </c>
      <c r="D69" s="54"/>
      <c r="E69" s="59">
        <f t="shared" ref="E69" si="11">E62+E63</f>
        <v>1</v>
      </c>
      <c r="F69" s="54">
        <f>F62+F63</f>
        <v>3360.1832715025903</v>
      </c>
      <c r="G69" s="54">
        <f>G62+G63</f>
        <v>8800.1428072538856</v>
      </c>
      <c r="H69" s="54">
        <f>H62+H63</f>
        <v>15890.473807253886</v>
      </c>
      <c r="I69" s="54">
        <f>I62+I63</f>
        <v>18649.43484715026</v>
      </c>
      <c r="J69" s="54">
        <f>J62+J63</f>
        <v>13299.808403108807</v>
      </c>
      <c r="K69" s="54">
        <f t="shared" si="10"/>
        <v>60000.043136269429</v>
      </c>
    </row>
    <row r="70" spans="1:11" s="1" customFormat="1" ht="39.6" customHeight="1" x14ac:dyDescent="0.25">
      <c r="A70" s="66"/>
      <c r="B70" s="55" t="s">
        <v>75</v>
      </c>
      <c r="C70" s="59">
        <f>C69/100000</f>
        <v>0.6000000045906736</v>
      </c>
      <c r="D70" s="59"/>
      <c r="E70" s="59"/>
      <c r="F70" s="59">
        <f>F69/C69</f>
        <v>5.6003054096556933E-2</v>
      </c>
      <c r="G70" s="59">
        <f>G69/C69</f>
        <v>0.14666904566538189</v>
      </c>
      <c r="H70" s="59">
        <f>H69/C69</f>
        <v>0.26484122809456534</v>
      </c>
      <c r="I70" s="59">
        <f>I69/C69</f>
        <v>0.31082391174101909</v>
      </c>
      <c r="J70" s="59">
        <f>J69/C69</f>
        <v>0.22166347168917236</v>
      </c>
      <c r="K70" s="59">
        <f t="shared" si="10"/>
        <v>1.0000007112866955</v>
      </c>
    </row>
    <row r="71" spans="1:11" s="1" customFormat="1" ht="39" customHeight="1" x14ac:dyDescent="0.25">
      <c r="A71" s="15"/>
      <c r="B71" s="98" t="s">
        <v>71</v>
      </c>
      <c r="C71" s="99">
        <f>60000-C69</f>
        <v>-4.5906736340839416E-4</v>
      </c>
      <c r="D71" s="88"/>
      <c r="E71" s="3"/>
      <c r="F71" s="3"/>
      <c r="G71" s="3"/>
      <c r="H71" s="3"/>
      <c r="I71" s="3"/>
      <c r="J71" s="3"/>
    </row>
    <row r="72" spans="1:11" s="1" customFormat="1" ht="18" x14ac:dyDescent="0.25">
      <c r="A72" s="15"/>
      <c r="B72" s="100" t="s">
        <v>74</v>
      </c>
      <c r="C72" s="101">
        <v>60000</v>
      </c>
      <c r="D72" s="89"/>
      <c r="E72" s="84"/>
      <c r="F72" s="85"/>
      <c r="H72" s="80"/>
      <c r="I72" s="81"/>
      <c r="J72" s="3"/>
    </row>
    <row r="73" spans="1:11" s="1" customFormat="1" ht="18" x14ac:dyDescent="0.3">
      <c r="A73" s="15"/>
      <c r="B73" s="102" t="s">
        <v>46</v>
      </c>
      <c r="C73" s="103">
        <v>0.6</v>
      </c>
      <c r="D73" s="63"/>
      <c r="E73" s="86"/>
      <c r="F73" s="93"/>
      <c r="G73" s="82"/>
      <c r="H73" s="82"/>
      <c r="I73" s="83"/>
      <c r="J73" s="8"/>
    </row>
    <row r="74" spans="1:11" s="1" customFormat="1" ht="34.5" x14ac:dyDescent="0.3">
      <c r="A74" s="15"/>
      <c r="B74" s="102" t="s">
        <v>95</v>
      </c>
      <c r="C74" s="2"/>
      <c r="D74" s="8"/>
      <c r="E74" s="3"/>
      <c r="F74" s="93"/>
      <c r="G74" s="81"/>
      <c r="H74" s="81"/>
      <c r="I74" s="81"/>
      <c r="J74" s="3"/>
    </row>
    <row r="75" spans="1:11" s="1" customFormat="1" ht="15" x14ac:dyDescent="0.25">
      <c r="A75" s="15"/>
      <c r="B75" s="7"/>
      <c r="D75" s="3"/>
      <c r="E75" s="3"/>
      <c r="F75" s="93"/>
      <c r="G75" s="3"/>
      <c r="H75" s="3"/>
      <c r="I75" s="3"/>
      <c r="J75" s="3"/>
    </row>
    <row r="76" spans="1:11" s="1" customFormat="1" ht="19.5" x14ac:dyDescent="0.25">
      <c r="A76" s="15"/>
      <c r="B76" s="7"/>
      <c r="D76" s="75"/>
      <c r="E76" s="3"/>
      <c r="F76" s="93"/>
      <c r="G76" s="3"/>
      <c r="H76" s="3"/>
      <c r="I76" s="3"/>
      <c r="J76" s="3"/>
    </row>
    <row r="77" spans="1:11" s="1" customFormat="1" ht="15" x14ac:dyDescent="0.25">
      <c r="A77" s="15"/>
      <c r="B77" s="7"/>
      <c r="D77" s="3"/>
      <c r="E77" s="3"/>
      <c r="F77" s="93"/>
      <c r="G77" s="3"/>
      <c r="H77" s="3"/>
      <c r="I77" s="3"/>
      <c r="J77" s="3"/>
    </row>
    <row r="78" spans="1:11" s="1" customFormat="1" ht="14.25" x14ac:dyDescent="0.25">
      <c r="A78" s="15"/>
      <c r="B78" s="7"/>
      <c r="D78" s="3"/>
      <c r="E78" s="3"/>
      <c r="F78" s="3"/>
      <c r="G78" s="3"/>
      <c r="H78" s="3"/>
      <c r="I78" s="3"/>
      <c r="J78" s="3"/>
    </row>
    <row r="79" spans="1:11" s="1" customFormat="1" ht="14.25" x14ac:dyDescent="0.25">
      <c r="A79" s="15"/>
      <c r="B79" s="7"/>
      <c r="D79" s="3"/>
      <c r="E79" s="3"/>
      <c r="F79" s="3"/>
      <c r="G79" s="3"/>
      <c r="H79" s="3"/>
      <c r="I79" s="3"/>
      <c r="J79" s="3"/>
    </row>
  </sheetData>
  <mergeCells count="17">
    <mergeCell ref="J7:J10"/>
    <mergeCell ref="K7:K10"/>
    <mergeCell ref="A62:B62"/>
    <mergeCell ref="D7:D10"/>
    <mergeCell ref="E7:E10"/>
    <mergeCell ref="F7:F10"/>
    <mergeCell ref="G7:G10"/>
    <mergeCell ref="H7:H10"/>
    <mergeCell ref="I7:I10"/>
    <mergeCell ref="A7:A10"/>
    <mergeCell ref="B7:B10"/>
    <mergeCell ref="C7:C10"/>
    <mergeCell ref="A1:K1"/>
    <mergeCell ref="A2:K2"/>
    <mergeCell ref="A3:K3"/>
    <mergeCell ref="A5:K5"/>
    <mergeCell ref="I6:J6"/>
  </mergeCells>
  <pageMargins left="0.31496062992125984" right="0.31496062992125984" top="0.39370078740157483" bottom="0.39370078740157483" header="0.31496062992125984" footer="0.31496062992125984"/>
  <pageSetup paperSize="9" scale="5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41" r:id="rId4">
          <objectPr defaultSize="0" autoPict="0" r:id="rId5">
            <anchor moveWithCells="1" sizeWithCells="1">
              <from>
                <xdr:col>1</xdr:col>
                <xdr:colOff>2505075</xdr:colOff>
                <xdr:row>0</xdr:row>
                <xdr:rowOff>0</xdr:rowOff>
              </from>
              <to>
                <xdr:col>1</xdr:col>
                <xdr:colOff>2505075</xdr:colOff>
                <xdr:row>2</xdr:row>
                <xdr:rowOff>57150</xdr:rowOff>
              </to>
            </anchor>
          </objectPr>
        </oleObject>
      </mc:Choice>
      <mc:Fallback>
        <oleObject progId="Word.Picture.8" shapeId="10241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D4C0A6038A29514091A6F1DC5AE0D2CE" ma:contentTypeVersion="0" ma:contentTypeDescription="A content type to manage public (operations) IDB documents" ma:contentTypeScope="" ma:versionID="aeb57ed66ecaa353dbf731c11db53b04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j8b96605ee2f4c4e988849e658583fee xmlns="9c571b2f-e523-4ab2-ba2e-09e151a03ef4">
      <Terms xmlns="http://schemas.microsoft.com/office/infopath/2007/PartnerControls"/>
    </j8b96605ee2f4c4e988849e658583fee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INE/RND</Division_x0020_or_x0020_Unit>
    <Other_x0020_Author xmlns="9c571b2f-e523-4ab2-ba2e-09e151a03ef4" xsi:nil="true"/>
    <Region xmlns="9c571b2f-e523-4ab2-ba2e-09e151a03ef4" xsi:nil="true"/>
    <IDBDocs_x0020_Number xmlns="9c571b2f-e523-4ab2-ba2e-09e151a03ef4">37691808</IDBDocs_x0020_Number>
    <Document_x0020_Author xmlns="9c571b2f-e523-4ab2-ba2e-09e151a03ef4">Velasco, M. Mercedes</Document_x0020_Author>
    <Publication_x0020_Type xmlns="9c571b2f-e523-4ab2-ba2e-09e151a03ef4" xsi:nil="true"/>
    <Operation_x0020_Type xmlns="9c571b2f-e523-4ab2-ba2e-09e151a03ef4" xsi:nil="true"/>
    <TaxCatchAll xmlns="9c571b2f-e523-4ab2-ba2e-09e151a03ef4">
      <Value>17</Value>
      <Value>11</Value>
    </TaxCatchAll>
    <Fiscal_x0020_Year_x0020_IDB xmlns="9c571b2f-e523-4ab2-ba2e-09e151a03ef4">2013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BR-L1256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Profile (PP)</TermName>
          <TermId xmlns="http://schemas.microsoft.com/office/infopath/2007/PartnerControls">ac5f0c28-f2f6-431c-8d05-62f851b6a822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Proposal&lt;/USER_STAGE&gt;&lt;PD_OBJ_TYPE&gt;0&lt;/PD_OBJ_TYPE&gt;&lt;MAKERECORD&gt;N&lt;/MAKERECORD&gt;&lt;PD_FILEPT_NO&gt;PO-BR-L1256-Plan&lt;/PD_FILEPT_NO&gt;&lt;/Data&gt;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PA-ECO</Webtopic>
    <Identifier xmlns="9c571b2f-e523-4ab2-ba2e-09e151a03ef4">LinkOp-PIC TECFILE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2EFBDBEB-1784-4E58-930B-E30CF40FE7C6}"/>
</file>

<file path=customXml/itemProps2.xml><?xml version="1.0" encoding="utf-8"?>
<ds:datastoreItem xmlns:ds="http://schemas.openxmlformats.org/officeDocument/2006/customXml" ds:itemID="{08D1D88D-DE39-43AC-9C2A-8570EDBD8AB9}"/>
</file>

<file path=customXml/itemProps3.xml><?xml version="1.0" encoding="utf-8"?>
<ds:datastoreItem xmlns:ds="http://schemas.openxmlformats.org/officeDocument/2006/customXml" ds:itemID="{B3C160B9-7453-4087-968C-3C8B7B489249}"/>
</file>

<file path=customXml/itemProps4.xml><?xml version="1.0" encoding="utf-8"?>
<ds:datastoreItem xmlns:ds="http://schemas.openxmlformats.org/officeDocument/2006/customXml" ds:itemID="{095D1526-D3B1-4B33-A34D-5802EFAF5F5C}"/>
</file>

<file path=customXml/itemProps5.xml><?xml version="1.0" encoding="utf-8"?>
<ds:datastoreItem xmlns:ds="http://schemas.openxmlformats.org/officeDocument/2006/customXml" ds:itemID="{F00D3D10-D4D1-49A2-87CB-18F74A13DA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INVERSIONES Y CRONOGRAMA.</vt:lpstr>
      <vt:lpstr>Sólo desembolso BID</vt:lpstr>
      <vt:lpstr>'INVERSIONES Y CRONOGRAMA.'!Print_Area</vt:lpstr>
      <vt:lpstr>'Sólo desembolso BID'!Print_Area</vt:lpstr>
      <vt:lpstr>'INVERSIONES Y CRONOGRAMA.'!Print_Titles</vt:lpstr>
      <vt:lpstr>'Sólo desembolso BID'!Print_Titles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Inversiones y Cronograma de Desembolso del Programa</dc:title>
  <dc:creator>Nelson Caldeira</dc:creator>
  <cp:lastModifiedBy>Inter-American Development Bank</cp:lastModifiedBy>
  <cp:lastPrinted>2013-03-28T14:33:33Z</cp:lastPrinted>
  <dcterms:created xsi:type="dcterms:W3CDTF">2009-07-09T21:06:08Z</dcterms:created>
  <dcterms:modified xsi:type="dcterms:W3CDTF">2013-08-02T19:51:42Z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0x01010046CF21643EE8D14686A648AA6DAD089200D4C0A6038A29514091A6F1DC5AE0D2CE</vt:lpwstr>
  </property>
  <property fmtid="{D5CDD505-2E9C-101B-9397-08002B2CF9AE}" pid="5" name="TaxKeywordTaxHTField">
    <vt:lpwstr/>
  </property>
  <property fmtid="{D5CDD505-2E9C-101B-9397-08002B2CF9AE}" pid="6" name="Series Operations IDB">
    <vt:lpwstr>17;#Project Profile (PP)|ac5f0c28-f2f6-431c-8d05-62f851b6a822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17;#Project Profile (PP)|ac5f0c28-f2f6-431c-8d05-62f851b6a822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11;#Project Preparation, Planning and Design|29ca0c72-1fc4-435f-a09c-28585cb5eac9</vt:lpwstr>
  </property>
</Properties>
</file>